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927"/>
  <workbookPr/>
  <mc:AlternateContent xmlns:mc="http://schemas.openxmlformats.org/markup-compatibility/2006">
    <mc:Choice Requires="x15">
      <x15ac:absPath xmlns:x15ac="http://schemas.microsoft.com/office/spreadsheetml/2010/11/ac" url="C:\Users\422 -\Documents\"/>
    </mc:Choice>
  </mc:AlternateContent>
  <bookViews>
    <workbookView xWindow="0" yWindow="0" windowWidth="21600" windowHeight="9510"/>
  </bookViews>
  <sheets>
    <sheet name="NOMINA" sheetId="1" r:id="rId1"/>
    <sheet name="APROPIACIONES" sheetId="2" r:id="rId2"/>
    <sheet name="CONTABILIZACION" sheetId="3" r:id="rId3"/>
  </sheet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2" l="1"/>
  <c r="D6" i="2"/>
  <c r="D7" i="2"/>
  <c r="D8" i="2"/>
  <c r="D9" i="2"/>
  <c r="D10" i="2"/>
  <c r="D11" i="2"/>
  <c r="D12" i="2"/>
  <c r="D13" i="2"/>
  <c r="D5" i="2"/>
  <c r="E7" i="2"/>
  <c r="E8" i="2"/>
  <c r="D34" i="3" s="1"/>
  <c r="E9" i="2"/>
  <c r="D43" i="3" s="1"/>
  <c r="E10" i="2"/>
  <c r="D53" i="3" s="1"/>
  <c r="E11" i="2"/>
  <c r="D63" i="3" s="1"/>
  <c r="E12" i="2"/>
  <c r="D72" i="3" s="1"/>
  <c r="E13" i="2"/>
  <c r="D81" i="3" s="1"/>
  <c r="E6" i="2"/>
  <c r="D26" i="3"/>
  <c r="D15" i="3" l="1"/>
  <c r="D6" i="3" l="1"/>
  <c r="P8" i="1"/>
  <c r="I7" i="1"/>
  <c r="I9" i="1"/>
  <c r="I10" i="1"/>
  <c r="I11" i="1"/>
  <c r="I12" i="1"/>
  <c r="I13" i="1"/>
  <c r="I14" i="1"/>
  <c r="I15" i="1"/>
  <c r="I8" i="1"/>
  <c r="J13" i="1"/>
  <c r="C11" i="2" s="1"/>
  <c r="E13" i="1"/>
  <c r="P13" i="1" s="1"/>
  <c r="E9" i="1"/>
  <c r="P9" i="1" s="1"/>
  <c r="E8" i="1"/>
  <c r="D14" i="3" s="1"/>
  <c r="D62" i="3" l="1"/>
  <c r="J9" i="1"/>
  <c r="C7" i="2" s="1"/>
  <c r="E15" i="1"/>
  <c r="E14" i="1"/>
  <c r="E12" i="1"/>
  <c r="E11" i="1"/>
  <c r="E10" i="1"/>
  <c r="E7" i="1"/>
  <c r="D24" i="3" l="1"/>
  <c r="P10" i="1"/>
  <c r="J10" i="1"/>
  <c r="C8" i="2" s="1"/>
  <c r="J12" i="1"/>
  <c r="D55" i="3" s="1"/>
  <c r="D52" i="3"/>
  <c r="P12" i="1"/>
  <c r="P15" i="1"/>
  <c r="J15" i="1"/>
  <c r="C13" i="2" s="1"/>
  <c r="C5" i="2"/>
  <c r="P7" i="1"/>
  <c r="D42" i="3"/>
  <c r="P11" i="1"/>
  <c r="J11" i="1"/>
  <c r="D45" i="3" s="1"/>
  <c r="C9" i="2"/>
  <c r="J14" i="1"/>
  <c r="C12" i="2" s="1"/>
  <c r="P14" i="1"/>
  <c r="M7" i="1"/>
  <c r="M12" i="1"/>
  <c r="D71" i="3" l="1"/>
  <c r="D80" i="3"/>
  <c r="D33" i="3"/>
  <c r="D5" i="3"/>
  <c r="C10" i="2"/>
  <c r="R8" i="1" l="1"/>
  <c r="R9" i="1"/>
  <c r="R10" i="1"/>
  <c r="R11" i="1"/>
  <c r="R12" i="1"/>
  <c r="S12" i="1" s="1"/>
  <c r="T12" i="1" s="1"/>
  <c r="R13" i="1"/>
  <c r="R14" i="1"/>
  <c r="R15" i="1"/>
  <c r="R7" i="1"/>
  <c r="S7" i="1" s="1"/>
  <c r="M8" i="1"/>
  <c r="F6" i="2" s="1"/>
  <c r="D17" i="3" s="1"/>
  <c r="M9" i="1"/>
  <c r="M10" i="1"/>
  <c r="S10" i="1" s="1"/>
  <c r="T10" i="1" s="1"/>
  <c r="M11" i="1"/>
  <c r="M13" i="1"/>
  <c r="S13" i="1" s="1"/>
  <c r="T13" i="1" s="1"/>
  <c r="M14" i="1"/>
  <c r="M15" i="1"/>
  <c r="S15" i="1" s="1"/>
  <c r="T15" i="1" s="1"/>
  <c r="J8" i="1"/>
  <c r="S11" i="1" l="1"/>
  <c r="T11" i="1" s="1"/>
  <c r="S9" i="1"/>
  <c r="T9" i="1" s="1"/>
  <c r="D16" i="3"/>
  <c r="D21" i="3" s="1"/>
  <c r="C6" i="2"/>
  <c r="S8" i="1"/>
  <c r="T8" i="1" s="1"/>
  <c r="S14" i="1"/>
  <c r="T14" i="1" s="1"/>
  <c r="F5" i="2"/>
  <c r="F13" i="2"/>
  <c r="U13" i="1"/>
  <c r="F11" i="2"/>
  <c r="F8" i="2"/>
  <c r="F12" i="2"/>
  <c r="F9" i="2"/>
  <c r="F7" i="2"/>
  <c r="F10" i="2"/>
  <c r="U7" i="1"/>
  <c r="U15" i="1"/>
  <c r="D54" i="3" l="1"/>
  <c r="D59" i="3" s="1"/>
  <c r="I10" i="2"/>
  <c r="G10" i="2"/>
  <c r="H10" i="2"/>
  <c r="D44" i="3"/>
  <c r="D49" i="3" s="1"/>
  <c r="H9" i="2"/>
  <c r="I9" i="2"/>
  <c r="G9" i="2"/>
  <c r="D35" i="3"/>
  <c r="D39" i="3" s="1"/>
  <c r="H8" i="2"/>
  <c r="I8" i="2"/>
  <c r="G8" i="2"/>
  <c r="D7" i="3"/>
  <c r="D11" i="3" s="1"/>
  <c r="H5" i="2"/>
  <c r="E9" i="3" s="1"/>
  <c r="I5" i="2"/>
  <c r="G5" i="2"/>
  <c r="E8" i="3" s="1"/>
  <c r="E18" i="3"/>
  <c r="E19" i="3"/>
  <c r="D25" i="3"/>
  <c r="I7" i="2"/>
  <c r="G7" i="2"/>
  <c r="H7" i="2"/>
  <c r="D73" i="3"/>
  <c r="D77" i="3" s="1"/>
  <c r="I12" i="2"/>
  <c r="G12" i="2"/>
  <c r="H12" i="2"/>
  <c r="D64" i="3"/>
  <c r="D68" i="3" s="1"/>
  <c r="H11" i="2"/>
  <c r="I11" i="2"/>
  <c r="G11" i="2"/>
  <c r="D82" i="3"/>
  <c r="D86" i="3" s="1"/>
  <c r="H13" i="2"/>
  <c r="I13" i="2"/>
  <c r="G13" i="2"/>
  <c r="H6" i="2"/>
  <c r="G6" i="2"/>
  <c r="I6" i="2"/>
  <c r="X13" i="1"/>
  <c r="U11" i="1"/>
  <c r="X11" i="1" s="1"/>
  <c r="U10" i="1"/>
  <c r="X10" i="1" s="1"/>
  <c r="T7" i="1"/>
  <c r="U8" i="1"/>
  <c r="X8" i="1" s="1"/>
  <c r="Y8" i="1" s="1"/>
  <c r="X7" i="1"/>
  <c r="Y7" i="1" s="1"/>
  <c r="X15" i="1"/>
  <c r="U14" i="1"/>
  <c r="X14" i="1" s="1"/>
  <c r="U9" i="1"/>
  <c r="U12" i="1"/>
  <c r="X12" i="1" s="1"/>
  <c r="Y12" i="1" s="1"/>
  <c r="E20" i="3" l="1"/>
  <c r="E21" i="3" s="1"/>
  <c r="E10" i="3"/>
  <c r="E11" i="3" s="1"/>
  <c r="E36" i="3"/>
  <c r="E37" i="3"/>
  <c r="E38" i="3" s="1"/>
  <c r="E39" i="3" s="1"/>
  <c r="E47" i="3"/>
  <c r="E46" i="3"/>
  <c r="E56" i="3"/>
  <c r="E57" i="3"/>
  <c r="E58" i="3" s="1"/>
  <c r="E83" i="3"/>
  <c r="E84" i="3"/>
  <c r="E85" i="3" s="1"/>
  <c r="E66" i="3"/>
  <c r="E65" i="3"/>
  <c r="E74" i="3"/>
  <c r="E75" i="3"/>
  <c r="D30" i="3"/>
  <c r="B26" i="3"/>
  <c r="X9" i="1"/>
  <c r="L6" i="2"/>
  <c r="L7" i="2"/>
  <c r="L8" i="2"/>
  <c r="L9" i="2"/>
  <c r="L10" i="2"/>
  <c r="L11" i="2"/>
  <c r="L12" i="2"/>
  <c r="L13" i="2"/>
  <c r="L5" i="2"/>
  <c r="K6" i="2"/>
  <c r="M6" i="2" s="1"/>
  <c r="K7" i="2"/>
  <c r="M7" i="2" s="1"/>
  <c r="K8" i="2"/>
  <c r="M8" i="2" s="1"/>
  <c r="K9" i="2"/>
  <c r="M9" i="2" s="1"/>
  <c r="K10" i="2"/>
  <c r="M10" i="2" s="1"/>
  <c r="K11" i="2"/>
  <c r="M11" i="2" s="1"/>
  <c r="K12" i="2"/>
  <c r="M12" i="2" s="1"/>
  <c r="K13" i="2"/>
  <c r="M13" i="2" s="1"/>
  <c r="K5" i="2"/>
  <c r="M5" i="2" s="1"/>
  <c r="J6" i="2"/>
  <c r="J7" i="2"/>
  <c r="J8" i="2"/>
  <c r="J9" i="2"/>
  <c r="J10" i="2"/>
  <c r="J11" i="2"/>
  <c r="J12" i="2"/>
  <c r="J13" i="2"/>
  <c r="J5" i="2"/>
  <c r="Y14" i="1"/>
  <c r="Y15" i="1"/>
  <c r="Y9" i="1"/>
  <c r="Y10" i="1"/>
  <c r="E27" i="3" l="1"/>
  <c r="E28" i="3"/>
  <c r="E29" i="3" s="1"/>
  <c r="E30" i="3" s="1"/>
  <c r="E76" i="3"/>
  <c r="E77" i="3" s="1"/>
  <c r="E67" i="3"/>
  <c r="E68" i="3" s="1"/>
  <c r="E59" i="3"/>
  <c r="E48" i="3"/>
  <c r="E49" i="3" s="1"/>
  <c r="Y11" i="1"/>
  <c r="Y13" i="1"/>
</calcChain>
</file>

<file path=xl/sharedStrings.xml><?xml version="1.0" encoding="utf-8"?>
<sst xmlns="http://schemas.openxmlformats.org/spreadsheetml/2006/main" count="181" uniqueCount="72">
  <si>
    <t>CARGO</t>
  </si>
  <si>
    <t>SALARIO BASE</t>
  </si>
  <si>
    <t>AUXILIO DE TRANSPORTE</t>
  </si>
  <si>
    <t>HORAS EXTRAS DIURNAS ORDINARIAS.</t>
  </si>
  <si>
    <t>HORAS EXTRAS NOCTURNAS ORDINARIAS.</t>
  </si>
  <si>
    <t>RECARGO  NOCTURNO</t>
  </si>
  <si>
    <t>DIAS TRABAJADOS.</t>
  </si>
  <si>
    <t>TOTAL DEVENGADO.</t>
  </si>
  <si>
    <t>EPS</t>
  </si>
  <si>
    <t>PENSION</t>
  </si>
  <si>
    <t xml:space="preserve">FONDO DE EMPLEADOS </t>
  </si>
  <si>
    <t xml:space="preserve">TOTAL DEDUCIDO </t>
  </si>
  <si>
    <t>NETO A PAGAR</t>
  </si>
  <si>
    <t>COMISION</t>
  </si>
  <si>
    <t>APROPIACIONES.</t>
  </si>
  <si>
    <t>NOMBRES Y APELLIDOS</t>
  </si>
  <si>
    <t>SUELDO</t>
  </si>
  <si>
    <t>AUX TRANS</t>
  </si>
  <si>
    <t>H. EXTRAS</t>
  </si>
  <si>
    <t>ARL</t>
  </si>
  <si>
    <t>PRIMA</t>
  </si>
  <si>
    <t>CESANTIAS</t>
  </si>
  <si>
    <t>VACACIONES</t>
  </si>
  <si>
    <t>INTERESES CESANTIAS</t>
  </si>
  <si>
    <t>CODIGO</t>
  </si>
  <si>
    <t>CUENTA</t>
  </si>
  <si>
    <t>DEBITO</t>
  </si>
  <si>
    <t>CREDITO</t>
  </si>
  <si>
    <t>SUELDO ADMINISTRATIVO</t>
  </si>
  <si>
    <t>HORAS EXTRAS</t>
  </si>
  <si>
    <t>AUXILIO TRANSPORTE</t>
  </si>
  <si>
    <t>APORTE EPS</t>
  </si>
  <si>
    <t>APORTE PENSION</t>
  </si>
  <si>
    <t>SALARIOS POR PAGAR</t>
  </si>
  <si>
    <t>CAJERO</t>
  </si>
  <si>
    <t>TOTAL DEVENGADO</t>
  </si>
  <si>
    <r>
      <rPr>
        <b/>
        <u/>
        <sz val="10.5"/>
        <rFont val="Calibri"/>
        <family val="2"/>
        <scheme val="minor"/>
      </rPr>
      <t xml:space="preserve">CUENTAS POR COBRAR </t>
    </r>
    <r>
      <rPr>
        <b/>
        <sz val="10.5"/>
        <rFont val="Calibri"/>
        <family val="2"/>
        <scheme val="minor"/>
      </rPr>
      <t>INCAPACIDAD POR ARL Y/O EPS</t>
    </r>
  </si>
  <si>
    <t>DIAS INC</t>
  </si>
  <si>
    <t>N HORAS</t>
  </si>
  <si>
    <t>HORAS</t>
  </si>
  <si>
    <t>TOTAL DEDUCIDO</t>
  </si>
  <si>
    <t>NOMBRE EMPLEADO</t>
  </si>
  <si>
    <t>ACEVEDO JHONG, DANIEL</t>
  </si>
  <si>
    <t>AGURTO RONDOY, MIGUELVICENTE</t>
  </si>
  <si>
    <t>ALCALÁ NEGRÓN, CHRISTIAN NELSON</t>
  </si>
  <si>
    <t>ALMORA HERNANDEZ, RAUL EDUARDO</t>
  </si>
  <si>
    <t>ALVA CAMPOS, VICTOR</t>
  </si>
  <si>
    <t>AREVALO LOPEZ, JAVIER</t>
  </si>
  <si>
    <t>ARIAS HERNANDEZ, ROSARIO</t>
  </si>
  <si>
    <t xml:space="preserve">ARROYO RAMÍREZ, EFRAÍN </t>
  </si>
  <si>
    <t xml:space="preserve">ALOSILLA VELASCO VERA, JORGE </t>
  </si>
  <si>
    <t>JEFE</t>
  </si>
  <si>
    <t>SUPERVISOR</t>
  </si>
  <si>
    <t>AUXILIAR DE COCINA</t>
  </si>
  <si>
    <t>VENDEDOR</t>
  </si>
  <si>
    <t>ADMINISTRADOR</t>
  </si>
  <si>
    <t>STAFF</t>
  </si>
  <si>
    <t>AUXILIAR ADMINISTRATIVO</t>
  </si>
  <si>
    <t>HORAS2</t>
  </si>
  <si>
    <t>HORAS3</t>
  </si>
  <si>
    <t>HORAS4</t>
  </si>
  <si>
    <t>RETENCION EN LA FUENTE</t>
  </si>
  <si>
    <t xml:space="preserve">SUMAS IGUALES </t>
  </si>
  <si>
    <t>GASTOS AUXILIO DE TRANSPORTE</t>
  </si>
  <si>
    <t>HORAS EXTRAS Y COMISION</t>
  </si>
  <si>
    <t>INCAPACIDADES</t>
  </si>
  <si>
    <t xml:space="preserve">HORAS EXTRAS MAS COMISIONES </t>
  </si>
  <si>
    <t xml:space="preserve">HORAS EXTRAS </t>
  </si>
  <si>
    <t>CONTABILIZACIÓN</t>
  </si>
  <si>
    <t>,</t>
  </si>
  <si>
    <t xml:space="preserve">LIQUIDACION NOMINA
1-30 DE NOVIEMBRE </t>
  </si>
  <si>
    <t>EMPRESA: DELIFRUT S.A.
NIT: 900856654-1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</si>
</sst>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4" formatCode="_(&quot;$&quot;\ * #,##0.00_);_(&quot;$&quot;\ * \(#,##0.00\);_(&quot;$&quot;\ * &quot;-&quot;??_);_(@_)"/>
    <numFmt numFmtId="164" formatCode="#,##0.00&quot; €&quot;;\-#,##0.00&quot; €&quot;;\-"/>
    <numFmt numFmtId="165" formatCode="_-&quot;$&quot;* #,##0_-;\-&quot;$&quot;* #,##0_-;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b/>
      <sz val="11"/>
      <name val="Calibri"/>
      <family val="2"/>
      <scheme val="minor"/>
    </font>
    <font>
      <b/>
      <sz val="14"/>
      <name val="Calibri"/>
      <family val="2"/>
      <scheme val="minor"/>
    </font>
    <font>
      <b/>
      <u/>
      <sz val="10.5"/>
      <name val="Calibri"/>
      <family val="2"/>
      <scheme val="minor"/>
    </font>
    <font>
      <b/>
      <sz val="10.5"/>
      <name val="Calibri"/>
      <family val="2"/>
      <scheme val="minor"/>
    </font>
    <font>
      <sz val="10"/>
      <name val="Arial"/>
      <family val="2"/>
    </font>
    <font>
      <sz val="10"/>
      <color theme="4" tint="-0.499984740745262"/>
      <name val="Arial"/>
      <family val="2"/>
    </font>
    <font>
      <sz val="10"/>
      <color theme="1"/>
      <name val="Calibri"/>
      <family val="2"/>
      <scheme val="minor"/>
    </font>
    <font>
      <sz val="10"/>
      <color theme="1"/>
      <name val="Arial"/>
      <family val="2"/>
    </font>
  </fonts>
  <fills count="20">
    <fill>
      <patternFill patternType="none"/>
    </fill>
    <fill>
      <patternFill patternType="gray125"/>
    </fill>
    <fill>
      <patternFill patternType="solid">
        <fgColor theme="4" tint="0.79998168889431442"/>
        <bgColor indexed="64"/>
      </patternFill>
    </fill>
    <fill>
      <patternFill patternType="solid">
        <fgColor theme="4"/>
      </patternFill>
    </fill>
    <fill>
      <patternFill patternType="solid">
        <fgColor theme="5" tint="-0.249977111117893"/>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9FFCC"/>
        <bgColor indexed="64"/>
      </patternFill>
    </fill>
    <fill>
      <patternFill patternType="solid">
        <fgColor rgb="FFFFFFCC"/>
        <bgColor indexed="64"/>
      </patternFill>
    </fill>
    <fill>
      <patternFill patternType="solid">
        <fgColor rgb="FFCCFF33"/>
        <bgColor indexed="64"/>
      </patternFill>
    </fill>
    <fill>
      <patternFill patternType="solid">
        <fgColor rgb="FF99CCFF"/>
        <bgColor indexed="64"/>
      </patternFill>
    </fill>
    <fill>
      <patternFill patternType="solid">
        <fgColor rgb="FFFFCC66"/>
        <bgColor indexed="64"/>
      </patternFill>
    </fill>
    <fill>
      <patternFill patternType="solid">
        <fgColor theme="4" tint="0.39997558519241921"/>
        <bgColor indexed="64"/>
      </patternFill>
    </fill>
    <fill>
      <patternFill patternType="solid">
        <fgColor rgb="FFFF9933"/>
        <bgColor indexed="64"/>
      </patternFill>
    </fill>
    <fill>
      <patternFill patternType="solid">
        <fgColor rgb="FFFFCCFF"/>
        <bgColor indexed="64"/>
      </patternFill>
    </fill>
    <fill>
      <patternFill patternType="solid">
        <fgColor rgb="FF66CCFF"/>
        <bgColor indexed="64"/>
      </patternFill>
    </fill>
    <fill>
      <patternFill patternType="solid">
        <fgColor rgb="FF00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3"/>
      </left>
      <right style="thin">
        <color theme="3"/>
      </right>
      <top style="thin">
        <color theme="3"/>
      </top>
      <bottom style="thin">
        <color theme="3"/>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0" fontId="3" fillId="3" borderId="0" applyNumberFormat="0" applyBorder="0" applyAlignment="0" applyProtection="0"/>
    <xf numFmtId="44" fontId="1" fillId="0" borderId="0" applyFont="0" applyFill="0" applyBorder="0" applyAlignment="0" applyProtection="0"/>
  </cellStyleXfs>
  <cellXfs count="90">
    <xf numFmtId="0" fontId="0" fillId="0" borderId="0" xfId="0"/>
    <xf numFmtId="0" fontId="3" fillId="4" borderId="1" xfId="3" applyFill="1" applyBorder="1"/>
    <xf numFmtId="0" fontId="0" fillId="0" borderId="1" xfId="0" applyBorder="1"/>
    <xf numFmtId="3" fontId="0" fillId="0" borderId="1" xfId="0" applyNumberFormat="1" applyBorder="1"/>
    <xf numFmtId="3" fontId="0" fillId="0" borderId="0" xfId="0" applyNumberFormat="1"/>
    <xf numFmtId="41" fontId="0" fillId="0" borderId="0" xfId="0" applyNumberFormat="1"/>
    <xf numFmtId="41" fontId="0" fillId="0" borderId="1" xfId="1" applyFont="1" applyBorder="1"/>
    <xf numFmtId="0" fontId="0" fillId="0" borderId="1" xfId="0" applyFill="1" applyBorder="1"/>
    <xf numFmtId="3" fontId="0" fillId="0" borderId="1" xfId="0" applyNumberFormat="1" applyBorder="1" applyAlignment="1">
      <alignment horizontal="right"/>
    </xf>
    <xf numFmtId="41" fontId="0" fillId="0" borderId="1" xfId="1" applyFont="1" applyBorder="1" applyAlignment="1">
      <alignment horizontal="right"/>
    </xf>
    <xf numFmtId="0" fontId="7" fillId="5" borderId="0" xfId="0" applyFont="1" applyFill="1"/>
    <xf numFmtId="0" fontId="6" fillId="7" borderId="0" xfId="0" applyFont="1" applyFill="1"/>
    <xf numFmtId="0" fontId="12" fillId="0" borderId="0" xfId="0" applyFont="1"/>
    <xf numFmtId="165" fontId="0" fillId="0" borderId="1" xfId="0" applyNumberFormat="1" applyBorder="1"/>
    <xf numFmtId="3" fontId="11" fillId="0" borderId="4" xfId="0" applyNumberFormat="1" applyFont="1" applyFill="1" applyBorder="1" applyAlignment="1">
      <alignment horizontal="right" vertical="center"/>
    </xf>
    <xf numFmtId="3" fontId="13" fillId="0" borderId="4" xfId="0" applyNumberFormat="1" applyFont="1" applyFill="1" applyBorder="1" applyAlignment="1">
      <alignment horizontal="right"/>
    </xf>
    <xf numFmtId="3" fontId="0" fillId="0" borderId="1" xfId="1" applyNumberFormat="1" applyFont="1" applyBorder="1"/>
    <xf numFmtId="3" fontId="13" fillId="0" borderId="4" xfId="1" applyNumberFormat="1" applyFont="1" applyFill="1" applyBorder="1" applyAlignment="1">
      <alignment horizontal="right"/>
    </xf>
    <xf numFmtId="1" fontId="0" fillId="0" borderId="1" xfId="0" applyNumberFormat="1" applyBorder="1"/>
    <xf numFmtId="3" fontId="13" fillId="0" borderId="0" xfId="1" applyNumberFormat="1" applyFont="1" applyFill="1" applyBorder="1" applyAlignment="1">
      <alignment horizontal="right"/>
    </xf>
    <xf numFmtId="3" fontId="0" fillId="0" borderId="0" xfId="0" applyNumberFormat="1" applyBorder="1"/>
    <xf numFmtId="0" fontId="0" fillId="9" borderId="2" xfId="0" applyFill="1" applyBorder="1" applyAlignment="1">
      <alignment horizontal="center"/>
    </xf>
    <xf numFmtId="0" fontId="0" fillId="9" borderId="3" xfId="0" applyFill="1" applyBorder="1" applyAlignment="1">
      <alignment horizontal="center"/>
    </xf>
    <xf numFmtId="0" fontId="0" fillId="11" borderId="1" xfId="0" applyFill="1" applyBorder="1"/>
    <xf numFmtId="3" fontId="0" fillId="11" borderId="1" xfId="0" applyNumberFormat="1" applyFill="1" applyBorder="1"/>
    <xf numFmtId="41" fontId="0" fillId="11" borderId="1" xfId="1" applyFont="1" applyFill="1" applyBorder="1"/>
    <xf numFmtId="0" fontId="0" fillId="15" borderId="2" xfId="0" applyFill="1" applyBorder="1" applyAlignment="1">
      <alignment horizontal="center"/>
    </xf>
    <xf numFmtId="0" fontId="0" fillId="15" borderId="3" xfId="0" applyFill="1" applyBorder="1" applyAlignment="1">
      <alignment horizontal="center"/>
    </xf>
    <xf numFmtId="3" fontId="0" fillId="5" borderId="1" xfId="0" applyNumberFormat="1" applyFill="1" applyBorder="1"/>
    <xf numFmtId="0" fontId="0" fillId="10" borderId="1" xfId="0" applyFill="1" applyBorder="1" applyAlignment="1">
      <alignment horizontal="center" vertical="center"/>
    </xf>
    <xf numFmtId="0" fontId="0" fillId="12" borderId="1" xfId="0" applyFill="1" applyBorder="1" applyAlignment="1">
      <alignment horizontal="center" vertical="center"/>
    </xf>
    <xf numFmtId="0" fontId="0" fillId="16" borderId="1" xfId="0" applyFill="1" applyBorder="1" applyAlignment="1">
      <alignment horizontal="center" vertical="center"/>
    </xf>
    <xf numFmtId="0" fontId="0" fillId="6" borderId="1" xfId="0" applyFill="1" applyBorder="1" applyAlignment="1">
      <alignment horizontal="center" vertical="center"/>
    </xf>
    <xf numFmtId="0" fontId="0" fillId="17" borderId="1" xfId="0" applyFill="1" applyBorder="1" applyAlignment="1">
      <alignment horizontal="center" vertical="center"/>
    </xf>
    <xf numFmtId="0" fontId="0" fillId="18" borderId="1" xfId="0" applyFill="1" applyBorder="1" applyAlignment="1">
      <alignment horizontal="center" vertical="center"/>
    </xf>
    <xf numFmtId="0" fontId="0" fillId="19" borderId="1" xfId="0" applyFill="1" applyBorder="1" applyAlignment="1">
      <alignment horizontal="center" vertical="center"/>
    </xf>
    <xf numFmtId="0" fontId="0" fillId="14" borderId="1" xfId="0" applyFill="1" applyBorder="1" applyAlignment="1">
      <alignment horizontal="center" vertical="center"/>
    </xf>
    <xf numFmtId="0" fontId="0" fillId="13" borderId="1" xfId="0" applyFill="1" applyBorder="1" applyAlignment="1">
      <alignment horizontal="center" vertical="center"/>
    </xf>
    <xf numFmtId="0" fontId="5" fillId="17" borderId="0" xfId="0" applyFont="1" applyFill="1" applyAlignment="1">
      <alignment horizontal="center"/>
    </xf>
    <xf numFmtId="0" fontId="2" fillId="13" borderId="1" xfId="0" applyFont="1" applyFill="1" applyBorder="1"/>
    <xf numFmtId="0" fontId="6" fillId="13" borderId="1" xfId="0" applyFont="1" applyFill="1" applyBorder="1"/>
    <xf numFmtId="0" fontId="4" fillId="10" borderId="1" xfId="0" applyFont="1" applyFill="1" applyBorder="1" applyAlignment="1">
      <alignment horizontal="center"/>
    </xf>
    <xf numFmtId="0" fontId="0" fillId="6" borderId="1" xfId="0" applyFill="1" applyBorder="1" applyAlignment="1">
      <alignment horizontal="center"/>
    </xf>
    <xf numFmtId="0" fontId="0" fillId="6" borderId="1" xfId="0" applyFill="1" applyBorder="1"/>
    <xf numFmtId="0" fontId="9" fillId="7" borderId="1" xfId="0" applyFont="1" applyFill="1" applyBorder="1" applyAlignment="1">
      <alignment horizontal="left" indent="1"/>
    </xf>
    <xf numFmtId="0" fontId="9" fillId="7" borderId="1" xfId="0" applyFont="1" applyFill="1" applyBorder="1" applyAlignment="1">
      <alignment horizontal="left" wrapText="1" indent="1"/>
    </xf>
    <xf numFmtId="0" fontId="9" fillId="7" borderId="1" xfId="0" applyFont="1" applyFill="1" applyBorder="1" applyAlignment="1">
      <alignment horizontal="left" vertical="center" wrapText="1" indent="1"/>
    </xf>
    <xf numFmtId="0" fontId="9" fillId="7" borderId="1" xfId="0" applyFont="1" applyFill="1" applyBorder="1" applyAlignment="1">
      <alignment horizontal="center" wrapText="1"/>
    </xf>
    <xf numFmtId="0" fontId="6" fillId="7" borderId="1" xfId="0" applyFont="1" applyFill="1" applyBorder="1" applyAlignment="1">
      <alignment horizontal="center"/>
    </xf>
    <xf numFmtId="0" fontId="10" fillId="8" borderId="1" xfId="0" applyFont="1" applyFill="1" applyBorder="1" applyAlignment="1">
      <alignment horizontal="left" vertical="center" indent="1"/>
    </xf>
    <xf numFmtId="0" fontId="11" fillId="0" borderId="1" xfId="0" applyFont="1" applyBorder="1" applyAlignment="1">
      <alignment vertical="center" wrapText="1"/>
    </xf>
    <xf numFmtId="0" fontId="11" fillId="8" borderId="1" xfId="0" applyFont="1" applyFill="1" applyBorder="1" applyAlignment="1">
      <alignment horizontal="right" vertical="center"/>
    </xf>
    <xf numFmtId="3" fontId="11" fillId="0" borderId="1" xfId="0" applyNumberFormat="1" applyFont="1" applyFill="1" applyBorder="1" applyAlignment="1">
      <alignment horizontal="center" vertical="center"/>
    </xf>
    <xf numFmtId="41" fontId="11" fillId="8" borderId="1" xfId="1" applyFont="1" applyFill="1" applyBorder="1" applyAlignment="1">
      <alignment horizontal="center" vertical="center"/>
    </xf>
    <xf numFmtId="3" fontId="11" fillId="8" borderId="1" xfId="0" applyNumberFormat="1" applyFont="1" applyFill="1" applyBorder="1" applyAlignment="1">
      <alignment horizontal="center" vertical="center"/>
    </xf>
    <xf numFmtId="164" fontId="11" fillId="8" borderId="1" xfId="0" applyNumberFormat="1" applyFont="1" applyFill="1" applyBorder="1" applyAlignment="1">
      <alignment horizontal="center" vertical="center"/>
    </xf>
    <xf numFmtId="41" fontId="11" fillId="8" borderId="1" xfId="1" applyFont="1" applyFill="1" applyBorder="1" applyAlignment="1">
      <alignment horizontal="right" vertical="center" indent="1"/>
    </xf>
    <xf numFmtId="0" fontId="11" fillId="8" borderId="1" xfId="1" applyNumberFormat="1" applyFont="1" applyFill="1" applyBorder="1" applyAlignment="1">
      <alignment horizontal="right" vertical="center" indent="1"/>
    </xf>
    <xf numFmtId="3" fontId="11" fillId="8" borderId="1" xfId="1" applyNumberFormat="1" applyFont="1" applyFill="1" applyBorder="1" applyAlignment="1">
      <alignment horizontal="right" vertical="center" indent="1"/>
    </xf>
    <xf numFmtId="3" fontId="11" fillId="8" borderId="1" xfId="0" applyNumberFormat="1" applyFont="1" applyFill="1" applyBorder="1" applyAlignment="1">
      <alignment horizontal="right" vertical="center"/>
    </xf>
    <xf numFmtId="10" fontId="11" fillId="8" borderId="1" xfId="2" applyNumberFormat="1" applyFont="1" applyFill="1" applyBorder="1" applyAlignment="1">
      <alignment horizontal="center" vertical="center"/>
    </xf>
    <xf numFmtId="0" fontId="11" fillId="0" borderId="1" xfId="0" applyFont="1" applyFill="1" applyBorder="1" applyAlignment="1">
      <alignment horizontal="right" vertical="center"/>
    </xf>
    <xf numFmtId="41" fontId="11" fillId="2" borderId="1" xfId="1" applyFont="1" applyFill="1" applyBorder="1" applyAlignment="1">
      <alignment horizontal="center" vertical="center"/>
    </xf>
    <xf numFmtId="41" fontId="11" fillId="0" borderId="1" xfId="1" applyFont="1" applyFill="1" applyBorder="1" applyAlignment="1">
      <alignment horizontal="center" vertical="center"/>
    </xf>
    <xf numFmtId="164" fontId="11" fillId="0" borderId="1" xfId="0" applyNumberFormat="1" applyFont="1" applyFill="1" applyBorder="1" applyAlignment="1">
      <alignment horizontal="center" vertical="center"/>
    </xf>
    <xf numFmtId="164" fontId="11" fillId="2" borderId="1" xfId="0" applyNumberFormat="1" applyFont="1" applyFill="1" applyBorder="1" applyAlignment="1">
      <alignment horizontal="right" vertical="center" indent="1"/>
    </xf>
    <xf numFmtId="10" fontId="11" fillId="0" borderId="1" xfId="2" applyNumberFormat="1" applyFont="1" applyFill="1" applyBorder="1" applyAlignment="1">
      <alignment horizontal="center" vertical="center"/>
    </xf>
    <xf numFmtId="41" fontId="11" fillId="0" borderId="1" xfId="1" applyFont="1" applyFill="1" applyBorder="1" applyAlignment="1">
      <alignment horizontal="right" vertical="center" indent="1"/>
    </xf>
    <xf numFmtId="0" fontId="11" fillId="0" borderId="1" xfId="0" applyFont="1" applyFill="1" applyBorder="1" applyAlignment="1">
      <alignment horizontal="center" vertical="center"/>
    </xf>
    <xf numFmtId="3" fontId="11" fillId="0" borderId="1" xfId="4" applyNumberFormat="1" applyFont="1" applyFill="1" applyBorder="1" applyAlignment="1">
      <alignment horizontal="center" vertical="center"/>
    </xf>
    <xf numFmtId="44" fontId="11" fillId="0" borderId="1" xfId="4" applyFont="1" applyFill="1" applyBorder="1" applyAlignment="1">
      <alignment horizontal="center" vertical="center"/>
    </xf>
    <xf numFmtId="41" fontId="11" fillId="2" borderId="1" xfId="1" applyFont="1" applyFill="1" applyBorder="1" applyAlignment="1">
      <alignment horizontal="right" vertical="center" indent="1"/>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17" borderId="0" xfId="0" applyFill="1" applyBorder="1" applyAlignment="1">
      <alignment horizontal="center"/>
    </xf>
    <xf numFmtId="0" fontId="4" fillId="17" borderId="0" xfId="0" applyFont="1" applyFill="1" applyBorder="1" applyAlignment="1">
      <alignment horizontal="center" vertical="center" wrapText="1"/>
    </xf>
    <xf numFmtId="0" fontId="0" fillId="17" borderId="12" xfId="0" applyFill="1" applyBorder="1" applyAlignment="1">
      <alignment horizontal="center"/>
    </xf>
    <xf numFmtId="0" fontId="0" fillId="17" borderId="8" xfId="0" applyFill="1" applyBorder="1" applyAlignment="1">
      <alignment horizontal="center"/>
    </xf>
    <xf numFmtId="0" fontId="4" fillId="17" borderId="0" xfId="0" applyFont="1" applyFill="1" applyBorder="1" applyAlignment="1">
      <alignment horizontal="center" vertical="center"/>
    </xf>
    <xf numFmtId="0" fontId="0" fillId="17" borderId="6" xfId="0" applyFill="1" applyBorder="1" applyAlignment="1">
      <alignment horizontal="center"/>
    </xf>
    <xf numFmtId="0" fontId="0" fillId="17" borderId="5" xfId="0" applyFill="1" applyBorder="1" applyAlignment="1">
      <alignment horizontal="center"/>
    </xf>
    <xf numFmtId="0" fontId="0" fillId="17" borderId="11" xfId="0" applyFill="1" applyBorder="1" applyAlignment="1">
      <alignment horizontal="center"/>
    </xf>
    <xf numFmtId="0" fontId="0" fillId="19" borderId="1" xfId="0" applyFill="1" applyBorder="1"/>
    <xf numFmtId="0" fontId="0" fillId="19" borderId="13" xfId="0" applyFill="1" applyBorder="1"/>
    <xf numFmtId="0" fontId="2" fillId="19" borderId="13" xfId="0" applyFont="1" applyFill="1" applyBorder="1" applyAlignment="1">
      <alignment horizontal="center"/>
    </xf>
    <xf numFmtId="0" fontId="2" fillId="19" borderId="1" xfId="0" applyFont="1" applyFill="1" applyBorder="1" applyAlignment="1">
      <alignment horizontal="center"/>
    </xf>
  </cellXfs>
  <cellStyles count="5">
    <cellStyle name="Énfasis1" xfId="3" builtinId="29"/>
    <cellStyle name="Millares [0]" xfId="1" builtinId="6"/>
    <cellStyle name="Moneda" xfId="4" builtinId="4"/>
    <cellStyle name="Normal" xfId="0" builtinId="0"/>
    <cellStyle name="Porcentaje" xfId="2" builtinId="5"/>
  </cellStyles>
  <dxfs count="33">
    <dxf>
      <font>
        <b/>
        <strike val="0"/>
        <outline val="0"/>
        <shadow val="0"/>
        <u val="none"/>
        <vertAlign val="baseline"/>
        <sz val="10.5"/>
        <color auto="1"/>
        <name val="Calibri"/>
        <scheme val="minor"/>
      </font>
      <fill>
        <patternFill>
          <fgColor indexed="64"/>
          <bgColor theme="9" tint="0.59999389629810485"/>
        </patternFill>
      </fill>
      <alignment vertical="bottom"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u val="none"/>
        <vertAlign val="baseline"/>
        <sz val="10"/>
        <color theme="4" tint="-0.499984740745262"/>
        <name val="Arial"/>
        <scheme val="none"/>
      </font>
      <alignment horizontal="right" vertical="center" textRotation="0" wrapText="0" indent="1"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u val="none"/>
        <vertAlign val="baseline"/>
        <sz val="10"/>
        <color theme="4" tint="-0.499984740745262"/>
        <name val="Arial"/>
        <scheme val="none"/>
      </font>
      <numFmt numFmtId="14"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u val="none"/>
        <vertAlign val="baseline"/>
        <sz val="10"/>
        <color theme="4" tint="-0.499984740745262"/>
        <name val="Arial"/>
        <scheme val="none"/>
      </font>
      <numFmt numFmtId="14"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u val="none"/>
        <vertAlign val="baseline"/>
        <sz val="10"/>
        <color theme="4" tint="-0.499984740745262"/>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u val="none"/>
        <vertAlign val="baseline"/>
        <sz val="10"/>
        <color theme="4" tint="-0.499984740745262"/>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u val="none"/>
        <vertAlign val="baseline"/>
        <sz val="10"/>
        <color theme="4" tint="-0.49998474074526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4" tint="-0.499984740745262"/>
        <name val="Arial"/>
        <scheme val="none"/>
      </font>
      <numFmt numFmtId="33" formatCode="_(* #,##0_);_(* \(#,##0\);_(* &quot;-&quot;_);_(@_)"/>
      <fill>
        <patternFill patternType="solid">
          <fgColor indexed="64"/>
          <bgColor theme="4" tint="0.79998168889431442"/>
        </patternFill>
      </fill>
      <alignment horizontal="righ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u val="none"/>
        <vertAlign val="baseline"/>
        <sz val="10"/>
        <color theme="4" tint="-0.499984740745262"/>
        <name val="Arial"/>
        <scheme val="none"/>
      </font>
      <numFmt numFmtId="166" formatCode="&quot;$&quot;#,##0.00;\-&quot;$&quot;#,##0.00;\-"/>
      <fill>
        <patternFill patternType="solid">
          <fgColor indexed="64"/>
          <bgColor theme="4" tint="0.79998168889431442"/>
        </patternFill>
      </fill>
      <alignment horizontal="righ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4" tint="-0.499984740745262"/>
        <name val="Arial"/>
        <scheme val="none"/>
      </font>
      <numFmt numFmtId="164" formatCode="#,##0.00&quot; €&quot;;\-#,##0.00&quot; €&quot;;\-"/>
      <fill>
        <patternFill patternType="solid">
          <fgColor indexed="64"/>
          <bgColor theme="4" tint="0.79998168889431442"/>
        </patternFill>
      </fill>
      <alignment horizontal="righ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u val="none"/>
        <vertAlign val="baseline"/>
        <sz val="10"/>
        <color theme="4" tint="-0.499984740745262"/>
        <name val="Arial"/>
        <scheme val="none"/>
      </font>
      <numFmt numFmtId="166" formatCode="&quot;$&quot;#,##0.00;\-&quot;$&quot;#,##0.00;\-"/>
      <fill>
        <patternFill patternType="solid">
          <fgColor indexed="64"/>
          <bgColor theme="4" tint="0.79998168889431442"/>
        </patternFill>
      </fill>
      <alignment horizontal="righ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4" tint="-0.499984740745262"/>
        <name val="Arial"/>
        <scheme val="none"/>
      </font>
      <numFmt numFmtId="164" formatCode="#,##0.00&quot; €&quot;;\-#,##0.00&quot; €&quo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u val="none"/>
        <vertAlign val="baseline"/>
        <sz val="10"/>
        <color theme="4" tint="-0.499984740745262"/>
        <name val="Arial"/>
        <scheme val="none"/>
      </font>
      <numFmt numFmtId="166" formatCode="&quot;$&quot;#,##0.00;\-&quot;$&quot;#,##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4" tint="-0.499984740745262"/>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4" tint="-0.499984740745262"/>
        <name val="Arial"/>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u val="none"/>
        <vertAlign val="baseline"/>
        <sz val="10"/>
        <color theme="4" tint="-0.499984740745262"/>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4" tint="-0.499984740745262"/>
        <name val="Arial"/>
        <scheme val="none"/>
      </font>
      <numFmt numFmtId="3" formatCode="#,##0"/>
      <fill>
        <patternFill patternType="solid">
          <fgColor indexed="64"/>
          <bgColor theme="4" tint="0.79998168889431442"/>
        </patternFill>
      </fill>
      <alignment horizontal="righ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u val="none"/>
        <vertAlign val="baseline"/>
        <sz val="10"/>
        <color theme="4" tint="-0.499984740745262"/>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4" tint="-0.499984740745262"/>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4" tint="-0.49998474074526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u val="none"/>
        <vertAlign val="baseline"/>
        <sz val="10"/>
        <color auto="1"/>
        <name val="Arial"/>
        <scheme val="none"/>
      </font>
      <fill>
        <patternFill patternType="solid">
          <fgColor indexed="64"/>
          <bgColor theme="9" tint="0.79998168889431442"/>
        </patternFill>
      </fill>
      <alignment horizontal="left" vertical="center" textRotation="0" wrapText="0" indent="1"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val="0"/>
        <i val="0"/>
        <strike val="0"/>
        <u val="none"/>
        <vertAlign val="baseline"/>
        <sz val="10"/>
        <color theme="1"/>
        <name val="Calibri"/>
        <scheme val="none"/>
      </font>
      <alignment vertical="center" textRotation="0" wrapText="0" indent="0" justifyLastLine="0" shrinkToFit="0" readingOrder="0"/>
    </dxf>
    <dxf>
      <alignment vertical="center" textRotation="0" wrapText="0" indent="0" justifyLastLine="0" shrinkToFit="0" readingOrder="0"/>
    </dxf>
    <dxf>
      <fill>
        <patternFill patternType="solid">
          <fgColor theme="4" tint="0.79998168889431442"/>
          <bgColor theme="4" tint="0.79998168889431442"/>
        </patternFill>
      </fill>
    </dxf>
    <dxf>
      <fill>
        <patternFill>
          <bgColor theme="4" tint="0.59996337778862885"/>
        </patternFill>
      </fill>
    </dxf>
    <dxf>
      <fill>
        <patternFill patternType="solid">
          <fgColor theme="4" tint="0.79992065187536243"/>
          <bgColor theme="4" tint="0.79998168889431442"/>
        </patternFill>
      </fill>
    </dxf>
    <dxf>
      <font>
        <b/>
        <i val="0"/>
        <color theme="3"/>
      </font>
    </dxf>
    <dxf>
      <font>
        <color theme="3"/>
      </font>
    </dxf>
    <dxf>
      <font>
        <color theme="1" tint="0.34998626667073579"/>
      </font>
      <border>
        <left style="thin">
          <color theme="3"/>
        </left>
        <right style="thin">
          <color theme="3"/>
        </right>
        <top style="thin">
          <color theme="3"/>
        </top>
        <bottom style="thin">
          <color theme="3"/>
        </bottom>
        <vertical style="thin">
          <color theme="3"/>
        </vertical>
        <horizontal style="thin">
          <color theme="3"/>
        </horizontal>
      </border>
    </dxf>
  </dxfs>
  <tableStyles count="1" defaultTableStyle="TableStyleMedium2" defaultPivotStyle="PivotStyleLight16">
    <tableStyle name="Payroll Calculator" pivot="0" count="6">
      <tableStyleElement type="wholeTable" dxfId="32"/>
      <tableStyleElement type="headerRow" dxfId="31"/>
      <tableStyleElement type="totalRow" dxfId="30"/>
      <tableStyleElement type="firstRowStripe" dxfId="29"/>
      <tableStyleElement type="secondRowStripe" dxfId="28"/>
      <tableStyleElement type="firstColumnStripe" dxfId="27"/>
    </tableStyle>
  </tableStyles>
  <colors>
    <mruColors>
      <color rgb="FFCCFF33"/>
      <color rgb="FF00FFFF"/>
      <color rgb="FFFFCCFF"/>
      <color rgb="FFFF99FF"/>
      <color rgb="FF99CCFF"/>
      <color rgb="FF66CCFF"/>
      <color rgb="FFFFFF00"/>
      <color rgb="FFFF9933"/>
      <color rgb="FFFFCC66"/>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19049</xdr:colOff>
      <xdr:row>0</xdr:row>
      <xdr:rowOff>0</xdr:rowOff>
    </xdr:from>
    <xdr:to>
      <xdr:col>2</xdr:col>
      <xdr:colOff>2600325</xdr:colOff>
      <xdr:row>4</xdr:row>
      <xdr:rowOff>5263</xdr:rowOff>
    </xdr:to>
    <xdr:pic>
      <xdr:nvPicPr>
        <xdr:cNvPr id="3" name="Imagen 2">
          <a:extLst>
            <a:ext uri="{FF2B5EF4-FFF2-40B4-BE49-F238E27FC236}">
              <a16:creationId xmlns:a16="http://schemas.microsoft.com/office/drawing/2014/main" id="{AE8D0ABD-2318-407C-9D6D-497677C160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49" y="0"/>
          <a:ext cx="3333751" cy="862513"/>
        </a:xfrm>
        <a:prstGeom prst="rect">
          <a:avLst/>
        </a:prstGeom>
      </xdr:spPr>
    </xdr:pic>
    <xdr:clientData/>
  </xdr:twoCellAnchor>
</xdr:wsDr>
</file>

<file path=xl/tables/table1.xml><?xml version="1.0" encoding="utf-8"?>
<table xmlns="http://schemas.openxmlformats.org/spreadsheetml/2006/main" id="1" name="Employees" displayName="Employees" ref="B6:Y15" totalsRowShown="0" headerRowDxfId="0" dataDxfId="26" totalsRowDxfId="25">
  <sortState ref="B7:T15">
    <sortCondition ref="C3:C12"/>
  </sortState>
  <tableColumns count="24">
    <tableColumn id="1" name="CODIGO" dataDxfId="24"/>
    <tableColumn id="2" name="NOMBRE EMPLEADO" dataDxfId="23"/>
    <tableColumn id="25" name="CARGO" dataDxfId="22"/>
    <tableColumn id="27" name="SALARIO BASE" dataDxfId="21"/>
    <tableColumn id="15" name="DIAS TRABAJADOS." dataDxfId="20" dataCellStyle="Millares [0]"/>
    <tableColumn id="28" name="AUXILIO DE TRANSPORTE" dataDxfId="19"/>
    <tableColumn id="39" name="COMISION" dataDxfId="18"/>
    <tableColumn id="26" name="DIAS INC" dataDxfId="17"/>
    <tableColumn id="29" name="CUENTAS POR COBRAR INCAPACIDAD POR ARL Y/O EPS" dataDxfId="16"/>
    <tableColumn id="3" name="HORAS" dataDxfId="15"/>
    <tableColumn id="19" name="N HORAS" dataDxfId="14"/>
    <tableColumn id="30" name="HORAS EXTRAS DIURNAS ORDINARIAS." dataDxfId="13"/>
    <tableColumn id="21" name="HORAS2" dataDxfId="12"/>
    <tableColumn id="12" name="HORAS3" dataDxfId="11"/>
    <tableColumn id="31" name="HORAS EXTRAS NOCTURNAS ORDINARIAS." dataDxfId="10">
      <calculatedColumnFormula>Employees[[#This Row],[HORAS EXTRAS DIURNAS ORDINARIAS.]]*#REF!+#REF!</calculatedColumnFormula>
    </tableColumn>
    <tableColumn id="17" name="HORAS4" dataDxfId="9"/>
    <tableColumn id="20" name="RECARGO  NOCTURNO" dataDxfId="8">
      <calculatedColumnFormula>Employees[[#This Row],[SALARIO BASE]]*Q7*0.35/240</calculatedColumnFormula>
    </tableColumn>
    <tableColumn id="16" name="TOTAL DEVENGADO." dataDxfId="7">
      <calculatedColumnFormula>(E7+G7+M7+P7+#REF!+#REF!+R7)</calculatedColumnFormula>
    </tableColumn>
    <tableColumn id="4" name="EPS" dataDxfId="6"/>
    <tableColumn id="5" name="PENSION" dataDxfId="5"/>
    <tableColumn id="8" name="FONDO DE EMPLEADOS " dataDxfId="4"/>
    <tableColumn id="18" name="RETENCION EN LA FUENTE" dataDxfId="3"/>
    <tableColumn id="9" name="TOTAL DEDUCIDO " dataDxfId="2">
      <calculatedColumnFormula>(T7+U7)</calculatedColumnFormula>
    </tableColumn>
    <tableColumn id="11" name="NETO A PAGAR" dataDxfId="1" dataCellStyle="Millares [0]">
      <calculatedColumnFormula>(S7-X7)</calculatedColumnFormula>
    </tableColumn>
  </tableColumns>
  <tableStyleInfo name="Payroll Calculator" showFirstColumn="0" showLastColumn="0" showRowStripes="1" showColumnStripes="0"/>
  <extLst>
    <ext xmlns:x14="http://schemas.microsoft.com/office/spreadsheetml/2009/9/main" uri="{504A1905-F514-4f6f-8877-14C23A59335A}">
      <x14:table altText="Información nóminas" altTextSummary="Lista de los empleados junto con datos de sus nóminas, como, las horas normales trabajadas, las horas de vacaciones, las horas de baja por enfermedad, las horas extra, el precio de la hora extra, el salario bruto y los impuestos."/>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33"/>
  </sheetPr>
  <dimension ref="A1:BN16"/>
  <sheetViews>
    <sheetView tabSelected="1" workbookViewId="0">
      <selection activeCell="C20" sqref="C20"/>
    </sheetView>
  </sheetViews>
  <sheetFormatPr baseColWidth="10" defaultRowHeight="15" x14ac:dyDescent="0.25"/>
  <cols>
    <col min="1" max="1" width="2.85546875" customWidth="1"/>
    <col min="2" max="2" width="11.28515625" bestFit="1" customWidth="1"/>
    <col min="3" max="3" width="39.140625" customWidth="1"/>
    <col min="4" max="4" width="25.28515625" bestFit="1" customWidth="1"/>
    <col min="5" max="5" width="35.5703125" bestFit="1" customWidth="1"/>
    <col min="6" max="6" width="8.42578125" customWidth="1"/>
    <col min="7" max="7" width="17.5703125" customWidth="1"/>
    <col min="8" max="8" width="12.5703125" customWidth="1"/>
    <col min="9" max="9" width="35.5703125" bestFit="1" customWidth="1"/>
    <col min="10" max="10" width="22.85546875" customWidth="1"/>
    <col min="11" max="11" width="18" customWidth="1"/>
    <col min="12" max="12" width="4.28515625" hidden="1" customWidth="1"/>
    <col min="13" max="13" width="18.7109375" customWidth="1"/>
    <col min="14" max="14" width="6.85546875" hidden="1" customWidth="1"/>
    <col min="15" max="15" width="8.28515625" bestFit="1" customWidth="1"/>
    <col min="16" max="17" width="18" customWidth="1"/>
    <col min="18" max="18" width="16.85546875" customWidth="1"/>
    <col min="19" max="19" width="21.7109375" bestFit="1" customWidth="1"/>
    <col min="20" max="20" width="9.5703125" customWidth="1"/>
    <col min="21" max="21" width="13.28515625" customWidth="1"/>
    <col min="22" max="23" width="14.42578125" customWidth="1"/>
    <col min="24" max="24" width="14.5703125" customWidth="1"/>
    <col min="25" max="25" width="11.5703125" bestFit="1" customWidth="1"/>
    <col min="26" max="26" width="13.28515625" customWidth="1"/>
  </cols>
  <sheetData>
    <row r="1" spans="1:66" x14ac:dyDescent="0.25">
      <c r="B1" s="72"/>
      <c r="C1" s="75"/>
      <c r="D1" s="78"/>
      <c r="E1" s="79" t="s">
        <v>71</v>
      </c>
      <c r="F1" s="80"/>
      <c r="G1" s="80"/>
      <c r="H1" s="80"/>
      <c r="I1" s="79" t="s">
        <v>70</v>
      </c>
      <c r="J1" s="78"/>
      <c r="K1" s="80"/>
      <c r="L1" s="80"/>
      <c r="M1" s="80"/>
      <c r="N1" s="80"/>
      <c r="O1" s="80"/>
      <c r="P1" s="80"/>
      <c r="Q1" s="80"/>
      <c r="R1" s="80"/>
      <c r="S1" s="80"/>
      <c r="T1" s="80"/>
      <c r="U1" s="80"/>
      <c r="V1" s="80"/>
      <c r="W1" s="80"/>
      <c r="X1" s="80"/>
      <c r="Y1" s="81"/>
    </row>
    <row r="2" spans="1:66" ht="18.75" customHeight="1" x14ac:dyDescent="0.25">
      <c r="B2" s="73"/>
      <c r="C2" s="76"/>
      <c r="D2" s="78"/>
      <c r="E2" s="82"/>
      <c r="F2" s="78"/>
      <c r="G2" s="78"/>
      <c r="H2" s="78"/>
      <c r="I2" s="82"/>
      <c r="J2" s="78"/>
      <c r="K2" s="78"/>
      <c r="L2" s="78"/>
      <c r="M2" s="78"/>
      <c r="N2" s="78"/>
      <c r="O2" s="78"/>
      <c r="P2" s="78"/>
      <c r="Q2" s="78"/>
      <c r="R2" s="78"/>
      <c r="S2" s="78"/>
      <c r="T2" s="78"/>
      <c r="U2" s="78"/>
      <c r="V2" s="78"/>
      <c r="W2" s="78"/>
      <c r="X2" s="78"/>
      <c r="Y2" s="83"/>
    </row>
    <row r="3" spans="1:66" ht="18.75" customHeight="1" x14ac:dyDescent="0.25">
      <c r="B3" s="73"/>
      <c r="C3" s="76"/>
      <c r="D3" s="78"/>
      <c r="E3" s="82"/>
      <c r="F3" s="78"/>
      <c r="G3" s="78"/>
      <c r="H3" s="78"/>
      <c r="I3" s="82"/>
      <c r="J3" s="78"/>
      <c r="K3" s="78"/>
      <c r="L3" s="78"/>
      <c r="M3" s="78"/>
      <c r="N3" s="78"/>
      <c r="O3" s="78"/>
      <c r="P3" s="78"/>
      <c r="Q3" s="78"/>
      <c r="R3" s="78"/>
      <c r="S3" s="78"/>
      <c r="T3" s="78"/>
      <c r="U3" s="78"/>
      <c r="V3" s="78"/>
      <c r="W3" s="78"/>
      <c r="X3" s="78"/>
      <c r="Y3" s="83"/>
    </row>
    <row r="4" spans="1:66" x14ac:dyDescent="0.25">
      <c r="B4" s="74"/>
      <c r="C4" s="77"/>
      <c r="D4" s="78"/>
      <c r="E4" s="82"/>
      <c r="F4" s="84"/>
      <c r="G4" s="84"/>
      <c r="H4" s="84"/>
      <c r="I4" s="82"/>
      <c r="J4" s="78"/>
      <c r="K4" s="84"/>
      <c r="L4" s="84"/>
      <c r="M4" s="84"/>
      <c r="N4" s="84"/>
      <c r="O4" s="84"/>
      <c r="P4" s="84"/>
      <c r="Q4" s="84"/>
      <c r="R4" s="84"/>
      <c r="S4" s="84"/>
      <c r="T4" s="84"/>
      <c r="U4" s="84"/>
      <c r="V4" s="84"/>
      <c r="W4" s="84"/>
      <c r="X4" s="84"/>
      <c r="Y4" s="85"/>
    </row>
    <row r="5" spans="1:66" x14ac:dyDescent="0.25">
      <c r="B5" s="86"/>
      <c r="C5" s="86"/>
      <c r="D5" s="87"/>
      <c r="E5" s="88" t="s">
        <v>35</v>
      </c>
      <c r="F5" s="89"/>
      <c r="G5" s="89"/>
      <c r="H5" s="89"/>
      <c r="I5" s="88"/>
      <c r="J5" s="88"/>
      <c r="K5" s="89"/>
      <c r="L5" s="89"/>
      <c r="M5" s="89"/>
      <c r="N5" s="89"/>
      <c r="O5" s="89"/>
      <c r="P5" s="89"/>
      <c r="Q5" s="89"/>
      <c r="R5" s="89"/>
      <c r="S5" s="89"/>
      <c r="T5" s="42" t="s">
        <v>40</v>
      </c>
      <c r="U5" s="42"/>
      <c r="V5" s="42"/>
      <c r="W5" s="42"/>
      <c r="X5" s="42"/>
      <c r="Y5" s="43"/>
    </row>
    <row r="6" spans="1:66" s="11" customFormat="1" ht="40.5" customHeight="1" x14ac:dyDescent="0.25">
      <c r="A6"/>
      <c r="B6" s="44" t="s">
        <v>24</v>
      </c>
      <c r="C6" s="44" t="s">
        <v>41</v>
      </c>
      <c r="D6" s="45" t="s">
        <v>0</v>
      </c>
      <c r="E6" s="45" t="s">
        <v>1</v>
      </c>
      <c r="F6" s="45" t="s">
        <v>6</v>
      </c>
      <c r="G6" s="45" t="s">
        <v>2</v>
      </c>
      <c r="H6" s="45" t="s">
        <v>13</v>
      </c>
      <c r="I6" s="46" t="s">
        <v>37</v>
      </c>
      <c r="J6" s="45" t="s">
        <v>36</v>
      </c>
      <c r="K6" s="47" t="s">
        <v>39</v>
      </c>
      <c r="L6" s="45" t="s">
        <v>38</v>
      </c>
      <c r="M6" s="45" t="s">
        <v>3</v>
      </c>
      <c r="N6" s="45" t="s">
        <v>58</v>
      </c>
      <c r="O6" s="48" t="s">
        <v>59</v>
      </c>
      <c r="P6" s="45" t="s">
        <v>4</v>
      </c>
      <c r="Q6" s="48" t="s">
        <v>60</v>
      </c>
      <c r="R6" s="45" t="s">
        <v>5</v>
      </c>
      <c r="S6" s="45" t="s">
        <v>7</v>
      </c>
      <c r="T6" s="45" t="s">
        <v>8</v>
      </c>
      <c r="U6" s="45" t="s">
        <v>9</v>
      </c>
      <c r="V6" s="45" t="s">
        <v>10</v>
      </c>
      <c r="W6" s="45" t="s">
        <v>61</v>
      </c>
      <c r="X6" s="45" t="s">
        <v>11</v>
      </c>
      <c r="Y6" s="45" t="s">
        <v>12</v>
      </c>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row>
    <row r="7" spans="1:66" s="10" customFormat="1" ht="20.25" customHeight="1" x14ac:dyDescent="0.3">
      <c r="B7" s="49">
        <v>7054</v>
      </c>
      <c r="C7" s="50" t="s">
        <v>42</v>
      </c>
      <c r="D7" s="51" t="s">
        <v>55</v>
      </c>
      <c r="E7" s="52">
        <f>(2000000/30)*F7</f>
        <v>2000000.0000000002</v>
      </c>
      <c r="F7" s="53">
        <v>30</v>
      </c>
      <c r="G7" s="54"/>
      <c r="H7" s="3">
        <v>25000</v>
      </c>
      <c r="I7" s="52">
        <f>30-Employees[[#This Row],[DIAS TRABAJADOS.]]</f>
        <v>0</v>
      </c>
      <c r="J7" s="55"/>
      <c r="K7" s="2">
        <v>1</v>
      </c>
      <c r="L7" s="53">
        <v>4</v>
      </c>
      <c r="M7" s="56">
        <f>Employees[[#This Row],[SALARIO BASE]]*K7*1.25/240</f>
        <v>10416.666666666668</v>
      </c>
      <c r="N7" s="57">
        <v>12</v>
      </c>
      <c r="O7" s="2">
        <v>1</v>
      </c>
      <c r="P7" s="58">
        <f>Employees[[#This Row],[SALARIO BASE]]*O7*1.75/240</f>
        <v>14583.333333333336</v>
      </c>
      <c r="Q7" s="58">
        <v>8</v>
      </c>
      <c r="R7" s="56">
        <f>Employees[[#This Row],[SALARIO BASE]]*Q7*0.35/240</f>
        <v>23333.333333333332</v>
      </c>
      <c r="S7" s="56">
        <f>SUM(E7,G7,H7,J7,M7,P7,R7,)</f>
        <v>2073333.3333333335</v>
      </c>
      <c r="T7" s="59">
        <f>Employees[[#This Row],[TOTAL DEVENGADO.]]*4%</f>
        <v>82933.333333333343</v>
      </c>
      <c r="U7" s="59">
        <f>Employees[[#This Row],[TOTAL DEVENGADO.]]*4%</f>
        <v>82933.333333333343</v>
      </c>
      <c r="V7" s="60"/>
      <c r="W7" s="60"/>
      <c r="X7" s="53">
        <f>SUM(Employees[[#This Row],[EPS]:[RETENCION EN LA FUENTE]])</f>
        <v>165866.66666666669</v>
      </c>
      <c r="Y7" s="56">
        <f t="shared" ref="Y7:Y15" si="0">(S7-X7)</f>
        <v>1907466.6666666667</v>
      </c>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row>
    <row r="8" spans="1:66" ht="20.25" customHeight="1" x14ac:dyDescent="0.25">
      <c r="B8" s="49">
        <v>7053</v>
      </c>
      <c r="C8" s="50" t="s">
        <v>43</v>
      </c>
      <c r="D8" s="61" t="s">
        <v>51</v>
      </c>
      <c r="E8" s="52">
        <f>(1300000/30)*F8</f>
        <v>1170000</v>
      </c>
      <c r="F8" s="62">
        <v>27</v>
      </c>
      <c r="G8" s="63">
        <v>83140</v>
      </c>
      <c r="H8" s="63"/>
      <c r="I8" s="52">
        <f>30-Employees[[#This Row],[DIAS TRABAJADOS.]]</f>
        <v>3</v>
      </c>
      <c r="J8" s="63">
        <f>Employees[[#This Row],[SALARIO BASE]]/30* Employees[[#This Row],[DIAS INC]]*70%</f>
        <v>81900</v>
      </c>
      <c r="K8" s="2">
        <v>2</v>
      </c>
      <c r="L8" s="64"/>
      <c r="M8" s="56">
        <f>Employees[[#This Row],[SALARIO BASE]]*K8*1.25/240</f>
        <v>12187.5</v>
      </c>
      <c r="N8" s="65"/>
      <c r="O8" s="2">
        <v>2</v>
      </c>
      <c r="P8" s="58">
        <f>Employees[[#This Row],[SALARIO BASE]]*O8*1.75/240</f>
        <v>17062.5</v>
      </c>
      <c r="Q8" s="58">
        <v>9</v>
      </c>
      <c r="R8" s="56">
        <f>Employees[[#This Row],[SALARIO BASE]]*Q8*0.35/240</f>
        <v>15356.249999999998</v>
      </c>
      <c r="S8" s="56">
        <f t="shared" ref="S8:S15" si="1">SUM(E8,G8,H8,J8,M8,P8,R8,)</f>
        <v>1379646.25</v>
      </c>
      <c r="T8" s="59">
        <f>Employees[[#This Row],[TOTAL DEVENGADO.]]*4%</f>
        <v>55185.85</v>
      </c>
      <c r="U8" s="59">
        <f>Employees[[#This Row],[TOTAL DEVENGADO.]]*4%</f>
        <v>55185.85</v>
      </c>
      <c r="V8" s="66"/>
      <c r="W8" s="66"/>
      <c r="X8" s="53">
        <f>SUM(Employees[[#This Row],[EPS]:[RETENCION EN LA FUENTE]])</f>
        <v>110371.7</v>
      </c>
      <c r="Y8" s="67">
        <f>(S8-X8)</f>
        <v>1269274.55</v>
      </c>
    </row>
    <row r="9" spans="1:66" ht="20.25" customHeight="1" x14ac:dyDescent="0.25">
      <c r="B9" s="49">
        <v>7075</v>
      </c>
      <c r="C9" s="50" t="s">
        <v>44</v>
      </c>
      <c r="D9" s="61" t="s">
        <v>52</v>
      </c>
      <c r="E9" s="52">
        <f>(900000/30)*F9</f>
        <v>900000</v>
      </c>
      <c r="F9" s="62">
        <v>30</v>
      </c>
      <c r="G9" s="63">
        <v>83140</v>
      </c>
      <c r="H9" s="68"/>
      <c r="I9" s="52">
        <f>30-Employees[[#This Row],[DIAS TRABAJADOS.]]</f>
        <v>0</v>
      </c>
      <c r="J9" s="63">
        <f>Employees[[#This Row],[SALARIO BASE]]/30* Employees[[#This Row],[DIAS INC]]*70%</f>
        <v>0</v>
      </c>
      <c r="K9" s="63">
        <v>3</v>
      </c>
      <c r="L9" s="64"/>
      <c r="M9" s="56">
        <f>Employees[[#This Row],[SALARIO BASE]]*K9*1.25/240</f>
        <v>14062.5</v>
      </c>
      <c r="N9" s="65"/>
      <c r="O9" s="2">
        <v>3</v>
      </c>
      <c r="P9" s="58">
        <f>Employees[[#This Row],[SALARIO BASE]]*O9*1.75/240</f>
        <v>19687.5</v>
      </c>
      <c r="Q9" s="58">
        <v>6</v>
      </c>
      <c r="R9" s="56">
        <f>Employees[[#This Row],[SALARIO BASE]]*Q9*0.35/240</f>
        <v>7874.9999999999991</v>
      </c>
      <c r="S9" s="56">
        <f t="shared" si="1"/>
        <v>1024765</v>
      </c>
      <c r="T9" s="59">
        <f>Employees[[#This Row],[TOTAL DEVENGADO.]]*4%</f>
        <v>40990.6</v>
      </c>
      <c r="U9" s="59">
        <f>Employees[[#This Row],[TOTAL DEVENGADO.]]*4%</f>
        <v>40990.6</v>
      </c>
      <c r="V9" s="66"/>
      <c r="W9" s="66"/>
      <c r="X9" s="53">
        <f>SUM(Employees[[#This Row],[EPS]:[RETENCION EN LA FUENTE]])</f>
        <v>81981.2</v>
      </c>
      <c r="Y9" s="67">
        <f t="shared" si="0"/>
        <v>942783.8</v>
      </c>
    </row>
    <row r="10" spans="1:66" ht="20.25" customHeight="1" x14ac:dyDescent="0.25">
      <c r="B10" s="49">
        <v>7012</v>
      </c>
      <c r="C10" s="50" t="s">
        <v>45</v>
      </c>
      <c r="D10" s="61" t="s">
        <v>53</v>
      </c>
      <c r="E10" s="52">
        <f>(737717/30)*F10</f>
        <v>737717</v>
      </c>
      <c r="F10" s="62">
        <v>30</v>
      </c>
      <c r="G10" s="63">
        <v>83140</v>
      </c>
      <c r="H10" s="68"/>
      <c r="I10" s="52">
        <f>30-Employees[[#This Row],[DIAS TRABAJADOS.]]</f>
        <v>0</v>
      </c>
      <c r="J10" s="63">
        <f>Employees[[#This Row],[SALARIO BASE]]/30* Employees[[#This Row],[DIAS INC]]*70%</f>
        <v>0</v>
      </c>
      <c r="K10" s="63">
        <v>4</v>
      </c>
      <c r="L10" s="64"/>
      <c r="M10" s="56">
        <f>Employees[[#This Row],[SALARIO BASE]]*K10*1.25/240</f>
        <v>15369.104166666666</v>
      </c>
      <c r="N10" s="65"/>
      <c r="O10" s="2">
        <v>3</v>
      </c>
      <c r="P10" s="58">
        <f>Employees[[#This Row],[SALARIO BASE]]*O10*1.75/240</f>
        <v>16137.559375000001</v>
      </c>
      <c r="Q10" s="58">
        <v>5</v>
      </c>
      <c r="R10" s="56">
        <f>Employees[[#This Row],[SALARIO BASE]]*Q10*0.35/240</f>
        <v>5379.1864583333336</v>
      </c>
      <c r="S10" s="56">
        <f t="shared" si="1"/>
        <v>857742.84999999986</v>
      </c>
      <c r="T10" s="59">
        <f>Employees[[#This Row],[TOTAL DEVENGADO.]]*4%</f>
        <v>34309.713999999993</v>
      </c>
      <c r="U10" s="59">
        <f>Employees[[#This Row],[TOTAL DEVENGADO.]]*4%</f>
        <v>34309.713999999993</v>
      </c>
      <c r="V10" s="66"/>
      <c r="W10" s="66"/>
      <c r="X10" s="53">
        <f>SUM(Employees[[#This Row],[EPS]:[RETENCION EN LA FUENTE]])</f>
        <v>68619.427999999985</v>
      </c>
      <c r="Y10" s="67">
        <f t="shared" si="0"/>
        <v>789123.4219999999</v>
      </c>
    </row>
    <row r="11" spans="1:66" ht="20.25" customHeight="1" x14ac:dyDescent="0.25">
      <c r="B11" s="49">
        <v>7062</v>
      </c>
      <c r="C11" s="50" t="s">
        <v>50</v>
      </c>
      <c r="D11" s="61" t="s">
        <v>54</v>
      </c>
      <c r="E11" s="52">
        <f>(737717/30)*F11</f>
        <v>688535.8666666667</v>
      </c>
      <c r="F11" s="62">
        <v>28</v>
      </c>
      <c r="G11" s="63">
        <v>83140</v>
      </c>
      <c r="H11" s="69">
        <v>80000</v>
      </c>
      <c r="I11" s="52">
        <f>30-Employees[[#This Row],[DIAS TRABAJADOS.]]</f>
        <v>2</v>
      </c>
      <c r="J11" s="63">
        <f>Employees[[#This Row],[SALARIO BASE]]/30* Employees[[#This Row],[DIAS INC]]*70%</f>
        <v>32131.673777777778</v>
      </c>
      <c r="K11" s="63">
        <v>2</v>
      </c>
      <c r="L11" s="64"/>
      <c r="M11" s="56">
        <f>Employees[[#This Row],[SALARIO BASE]]*K11*1.25/240</f>
        <v>7172.2486111111111</v>
      </c>
      <c r="N11" s="65"/>
      <c r="O11" s="2">
        <v>2</v>
      </c>
      <c r="P11" s="58">
        <f>Employees[[#This Row],[SALARIO BASE]]*O11*1.75/240</f>
        <v>10041.148055555555</v>
      </c>
      <c r="Q11" s="58">
        <v>4</v>
      </c>
      <c r="R11" s="56">
        <f>Employees[[#This Row],[SALARIO BASE]]*Q11*0.35/240</f>
        <v>4016.4592222222218</v>
      </c>
      <c r="S11" s="56">
        <f t="shared" si="1"/>
        <v>905037.39633333334</v>
      </c>
      <c r="T11" s="59">
        <f>Employees[[#This Row],[TOTAL DEVENGADO.]]*4%</f>
        <v>36201.495853333334</v>
      </c>
      <c r="U11" s="59">
        <f>Employees[[#This Row],[TOTAL DEVENGADO.]]*4%</f>
        <v>36201.495853333334</v>
      </c>
      <c r="V11" s="66"/>
      <c r="W11" s="66"/>
      <c r="X11" s="53">
        <f>SUM(Employees[[#This Row],[EPS]:[RETENCION EN LA FUENTE]])</f>
        <v>72402.991706666668</v>
      </c>
      <c r="Y11" s="67">
        <f t="shared" si="0"/>
        <v>832634.40462666668</v>
      </c>
    </row>
    <row r="12" spans="1:66" ht="20.25" customHeight="1" x14ac:dyDescent="0.25">
      <c r="B12" s="49">
        <v>7025</v>
      </c>
      <c r="C12" s="50" t="s">
        <v>46</v>
      </c>
      <c r="D12" s="61" t="s">
        <v>56</v>
      </c>
      <c r="E12" s="52">
        <f>(800000/30)*F12</f>
        <v>773333.33333333337</v>
      </c>
      <c r="F12" s="62">
        <v>29</v>
      </c>
      <c r="G12" s="63">
        <v>83140</v>
      </c>
      <c r="H12" s="70"/>
      <c r="I12" s="52">
        <f>30-Employees[[#This Row],[DIAS TRABAJADOS.]]</f>
        <v>1</v>
      </c>
      <c r="J12" s="63">
        <f>Employees[[#This Row],[SALARIO BASE]]/30* Employees[[#This Row],[DIAS INC]]*70%</f>
        <v>18044.444444444442</v>
      </c>
      <c r="K12" s="63">
        <v>5</v>
      </c>
      <c r="L12" s="64"/>
      <c r="M12" s="56">
        <f>Employees[[#This Row],[SALARIO BASE]]*K12*1.25/240</f>
        <v>20138.888888888891</v>
      </c>
      <c r="N12" s="65"/>
      <c r="O12" s="2">
        <v>1</v>
      </c>
      <c r="P12" s="58">
        <f>Employees[[#This Row],[SALARIO BASE]]*O12*1.75/240</f>
        <v>5638.8888888888896</v>
      </c>
      <c r="Q12" s="58">
        <v>8</v>
      </c>
      <c r="R12" s="56">
        <f>Employees[[#This Row],[SALARIO BASE]]*Q12*0.35/240</f>
        <v>9022.2222222222226</v>
      </c>
      <c r="S12" s="56">
        <f t="shared" si="1"/>
        <v>909317.77777777787</v>
      </c>
      <c r="T12" s="59">
        <f>Employees[[#This Row],[TOTAL DEVENGADO.]]*4%</f>
        <v>36372.711111111115</v>
      </c>
      <c r="U12" s="59">
        <f>Employees[[#This Row],[TOTAL DEVENGADO.]]*4%</f>
        <v>36372.711111111115</v>
      </c>
      <c r="V12" s="66"/>
      <c r="W12" s="66"/>
      <c r="X12" s="53">
        <f>SUM(Employees[[#This Row],[EPS]:[RETENCION EN LA FUENTE]])</f>
        <v>72745.422222222231</v>
      </c>
      <c r="Y12" s="67">
        <f t="shared" si="0"/>
        <v>836572.35555555567</v>
      </c>
    </row>
    <row r="13" spans="1:66" ht="20.25" customHeight="1" x14ac:dyDescent="0.25">
      <c r="B13" s="49">
        <v>7063</v>
      </c>
      <c r="C13" s="50" t="s">
        <v>47</v>
      </c>
      <c r="D13" s="61" t="s">
        <v>57</v>
      </c>
      <c r="E13" s="52">
        <f>(900000/30)*F13</f>
        <v>900000</v>
      </c>
      <c r="F13" s="62">
        <v>30</v>
      </c>
      <c r="G13" s="63">
        <v>83140</v>
      </c>
      <c r="H13" s="52"/>
      <c r="I13" s="52">
        <f>30-Employees[[#This Row],[DIAS TRABAJADOS.]]</f>
        <v>0</v>
      </c>
      <c r="J13" s="63">
        <f>Employees[[#This Row],[SALARIO BASE]]/30* Employees[[#This Row],[DIAS INC]]*70%</f>
        <v>0</v>
      </c>
      <c r="K13" s="63">
        <v>6</v>
      </c>
      <c r="L13" s="63">
        <v>3</v>
      </c>
      <c r="M13" s="56">
        <f>Employees[[#This Row],[SALARIO BASE]]*K13*1.25/240</f>
        <v>28125</v>
      </c>
      <c r="N13" s="71">
        <v>2</v>
      </c>
      <c r="O13" s="2">
        <v>2</v>
      </c>
      <c r="P13" s="58">
        <f>Employees[[#This Row],[SALARIO BASE]]*O13*1.75/240</f>
        <v>13125</v>
      </c>
      <c r="Q13" s="58">
        <v>5</v>
      </c>
      <c r="R13" s="56">
        <f>Employees[[#This Row],[SALARIO BASE]]*Q13*0.35/240</f>
        <v>6562.5</v>
      </c>
      <c r="S13" s="56">
        <f t="shared" si="1"/>
        <v>1030952.5</v>
      </c>
      <c r="T13" s="59">
        <f>Employees[[#This Row],[TOTAL DEVENGADO.]]*4%</f>
        <v>41238.1</v>
      </c>
      <c r="U13" s="59">
        <f>Employees[[#This Row],[TOTAL DEVENGADO.]]*4%</f>
        <v>41238.1</v>
      </c>
      <c r="V13" s="66"/>
      <c r="W13" s="66"/>
      <c r="X13" s="53">
        <f>SUM(Employees[[#This Row],[EPS]:[RETENCION EN LA FUENTE]])</f>
        <v>82476.2</v>
      </c>
      <c r="Y13" s="67">
        <f t="shared" si="0"/>
        <v>948476.3</v>
      </c>
    </row>
    <row r="14" spans="1:66" ht="20.25" customHeight="1" x14ac:dyDescent="0.25">
      <c r="B14" s="49">
        <v>7095</v>
      </c>
      <c r="C14" s="50" t="s">
        <v>48</v>
      </c>
      <c r="D14" s="61" t="s">
        <v>34</v>
      </c>
      <c r="E14" s="52">
        <f>(737717/30)*F14</f>
        <v>737717</v>
      </c>
      <c r="F14" s="62">
        <v>30</v>
      </c>
      <c r="G14" s="63">
        <v>83140</v>
      </c>
      <c r="H14" s="52"/>
      <c r="I14" s="52">
        <f>30-Employees[[#This Row],[DIAS TRABAJADOS.]]</f>
        <v>0</v>
      </c>
      <c r="J14" s="63">
        <f>Employees[[#This Row],[SALARIO BASE]]/30* Employees[[#This Row],[DIAS INC]]*70%</f>
        <v>0</v>
      </c>
      <c r="K14" s="63">
        <v>1</v>
      </c>
      <c r="L14" s="63">
        <v>16</v>
      </c>
      <c r="M14" s="56">
        <f>Employees[[#This Row],[SALARIO BASE]]*K14*1.25/240</f>
        <v>3842.2760416666665</v>
      </c>
      <c r="N14" s="65"/>
      <c r="O14" s="2">
        <v>2</v>
      </c>
      <c r="P14" s="58">
        <f>Employees[[#This Row],[SALARIO BASE]]*O14*1.75/240</f>
        <v>10758.372916666667</v>
      </c>
      <c r="Q14" s="58">
        <v>6</v>
      </c>
      <c r="R14" s="56">
        <f>Employees[[#This Row],[SALARIO BASE]]*Q14*0.35/240</f>
        <v>6455.0237499999994</v>
      </c>
      <c r="S14" s="56">
        <f t="shared" si="1"/>
        <v>841912.67270833335</v>
      </c>
      <c r="T14" s="59">
        <f>Employees[[#This Row],[TOTAL DEVENGADO.]]*4%</f>
        <v>33676.506908333336</v>
      </c>
      <c r="U14" s="59">
        <f>Employees[[#This Row],[TOTAL DEVENGADO.]]*4%</f>
        <v>33676.506908333336</v>
      </c>
      <c r="V14" s="66"/>
      <c r="W14" s="66"/>
      <c r="X14" s="53">
        <f>SUM(Employees[[#This Row],[EPS]:[RETENCION EN LA FUENTE]])</f>
        <v>67353.013816666673</v>
      </c>
      <c r="Y14" s="67">
        <f t="shared" si="0"/>
        <v>774559.65889166668</v>
      </c>
    </row>
    <row r="15" spans="1:66" ht="20.25" customHeight="1" x14ac:dyDescent="0.25">
      <c r="B15" s="49">
        <v>7079</v>
      </c>
      <c r="C15" s="50" t="s">
        <v>49</v>
      </c>
      <c r="D15" s="61" t="s">
        <v>54</v>
      </c>
      <c r="E15" s="52">
        <f>(737717/30)*F15</f>
        <v>737717</v>
      </c>
      <c r="F15" s="62">
        <v>30</v>
      </c>
      <c r="G15" s="63">
        <v>83140</v>
      </c>
      <c r="H15" s="8">
        <v>100000</v>
      </c>
      <c r="I15" s="52">
        <f>30-Employees[[#This Row],[DIAS TRABAJADOS.]]</f>
        <v>0</v>
      </c>
      <c r="J15" s="63">
        <f>Employees[[#This Row],[SALARIO BASE]]/30* Employees[[#This Row],[DIAS INC]]*70%</f>
        <v>0</v>
      </c>
      <c r="K15" s="63">
        <v>2</v>
      </c>
      <c r="L15" s="64"/>
      <c r="M15" s="56">
        <f>Employees[[#This Row],[SALARIO BASE]]*K15*1.25/240</f>
        <v>7684.552083333333</v>
      </c>
      <c r="N15" s="65"/>
      <c r="O15" s="2">
        <v>2</v>
      </c>
      <c r="P15" s="58">
        <f>Employees[[#This Row],[SALARIO BASE]]*O15*1.75/240</f>
        <v>10758.372916666667</v>
      </c>
      <c r="Q15" s="58">
        <v>8</v>
      </c>
      <c r="R15" s="56">
        <f>Employees[[#This Row],[SALARIO BASE]]*Q15*0.35/240</f>
        <v>8606.6983333333319</v>
      </c>
      <c r="S15" s="56">
        <f t="shared" si="1"/>
        <v>947906.62333333341</v>
      </c>
      <c r="T15" s="59">
        <f>Employees[[#This Row],[TOTAL DEVENGADO.]]*4%</f>
        <v>37916.264933333339</v>
      </c>
      <c r="U15" s="59">
        <f>Employees[[#This Row],[TOTAL DEVENGADO.]]*4%</f>
        <v>37916.264933333339</v>
      </c>
      <c r="V15" s="66"/>
      <c r="W15" s="66"/>
      <c r="X15" s="53">
        <f>SUM(Employees[[#This Row],[EPS]:[RETENCION EN LA FUENTE]])</f>
        <v>75832.529866666679</v>
      </c>
      <c r="Y15" s="67">
        <f t="shared" si="0"/>
        <v>872074.09346666676</v>
      </c>
    </row>
    <row r="16" spans="1:66" x14ac:dyDescent="0.25">
      <c r="B16" s="12"/>
      <c r="C16" s="12"/>
      <c r="D16" s="12"/>
      <c r="E16" s="12"/>
      <c r="F16" s="12"/>
      <c r="G16" s="12"/>
      <c r="H16" s="12"/>
      <c r="I16" s="12"/>
      <c r="J16" s="12"/>
      <c r="K16" s="12"/>
      <c r="L16" s="12"/>
      <c r="M16" s="12"/>
      <c r="N16" s="12"/>
      <c r="O16" s="12"/>
      <c r="P16" s="12"/>
      <c r="Q16" s="12"/>
      <c r="R16" s="12"/>
      <c r="S16" s="12"/>
      <c r="T16" s="12"/>
      <c r="U16" s="12"/>
      <c r="V16" s="12"/>
      <c r="W16" s="12"/>
      <c r="X16" s="12"/>
      <c r="Y16" s="12"/>
    </row>
  </sheetData>
  <mergeCells count="9">
    <mergeCell ref="E5:S5"/>
    <mergeCell ref="T5:X5"/>
    <mergeCell ref="B1:C4"/>
    <mergeCell ref="K1:Y4"/>
    <mergeCell ref="J1:J4"/>
    <mergeCell ref="F1:H4"/>
    <mergeCell ref="D1:D4"/>
    <mergeCell ref="I1:I4"/>
    <mergeCell ref="E1:E4"/>
  </mergeCells>
  <printOptions horizontalCentered="1"/>
  <pageMargins left="0.78740157480314965" right="0.78740157480314965" top="0.78740157480314965" bottom="0.78740157480314965" header="0.31496062992125984" footer="0.31496062992125984"/>
  <pageSetup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33"/>
  </sheetPr>
  <dimension ref="B2:M13"/>
  <sheetViews>
    <sheetView workbookViewId="0">
      <selection activeCell="E22" sqref="E22"/>
    </sheetView>
  </sheetViews>
  <sheetFormatPr baseColWidth="10" defaultRowHeight="15" x14ac:dyDescent="0.25"/>
  <cols>
    <col min="1" max="1" width="4.28515625" customWidth="1"/>
    <col min="2" max="2" width="35.28515625" bestFit="1" customWidth="1"/>
    <col min="4" max="4" width="10.28515625" bestFit="1" customWidth="1"/>
    <col min="5" max="5" width="11" bestFit="1" customWidth="1"/>
    <col min="6" max="6" width="9.85546875" bestFit="1" customWidth="1"/>
    <col min="7" max="8" width="9" bestFit="1" customWidth="1"/>
    <col min="9" max="9" width="8" bestFit="1" customWidth="1"/>
    <col min="10" max="10" width="9" bestFit="1" customWidth="1"/>
    <col min="12" max="12" width="12.5703125" bestFit="1" customWidth="1"/>
    <col min="13" max="13" width="20.42578125" bestFit="1" customWidth="1"/>
  </cols>
  <sheetData>
    <row r="2" spans="2:13" ht="18.75" customHeight="1" x14ac:dyDescent="0.25">
      <c r="B2" s="41" t="s">
        <v>14</v>
      </c>
      <c r="C2" s="41"/>
      <c r="D2" s="41"/>
      <c r="E2" s="41"/>
      <c r="F2" s="41"/>
      <c r="G2" s="41"/>
      <c r="H2" s="41"/>
      <c r="I2" s="41"/>
      <c r="J2" s="41"/>
      <c r="K2" s="41"/>
      <c r="L2" s="41"/>
      <c r="M2" s="41"/>
    </row>
    <row r="3" spans="2:13" x14ac:dyDescent="0.25">
      <c r="B3" s="41"/>
      <c r="C3" s="41"/>
      <c r="D3" s="41"/>
      <c r="E3" s="41"/>
      <c r="F3" s="41"/>
      <c r="G3" s="41"/>
      <c r="H3" s="41"/>
      <c r="I3" s="41"/>
      <c r="J3" s="41"/>
      <c r="K3" s="41"/>
      <c r="L3" s="41"/>
      <c r="M3" s="41"/>
    </row>
    <row r="4" spans="2:13" x14ac:dyDescent="0.25">
      <c r="B4" s="1" t="s">
        <v>15</v>
      </c>
      <c r="C4" s="1" t="s">
        <v>16</v>
      </c>
      <c r="D4" s="1" t="s">
        <v>13</v>
      </c>
      <c r="E4" s="1" t="s">
        <v>17</v>
      </c>
      <c r="F4" s="1" t="s">
        <v>18</v>
      </c>
      <c r="G4" s="1" t="s">
        <v>8</v>
      </c>
      <c r="H4" s="1" t="s">
        <v>9</v>
      </c>
      <c r="I4" s="1" t="s">
        <v>19</v>
      </c>
      <c r="J4" s="1" t="s">
        <v>20</v>
      </c>
      <c r="K4" s="1" t="s">
        <v>21</v>
      </c>
      <c r="L4" s="1" t="s">
        <v>22</v>
      </c>
      <c r="M4" s="1" t="s">
        <v>23</v>
      </c>
    </row>
    <row r="5" spans="2:13" x14ac:dyDescent="0.25">
      <c r="B5" s="23" t="s">
        <v>42</v>
      </c>
      <c r="C5" s="24">
        <f>NOMINA!E7+NOMINA!J7</f>
        <v>2000000.0000000002</v>
      </c>
      <c r="D5" s="24">
        <f>+NOMINA!H7</f>
        <v>25000</v>
      </c>
      <c r="E5" s="24">
        <f>+NOMINA!G7</f>
        <v>0</v>
      </c>
      <c r="F5" s="24">
        <f>SUM(NOMINA!M7,NOMINA!P7,NOMINA!R7)</f>
        <v>48333.333333333336</v>
      </c>
      <c r="G5" s="25">
        <f>SUM(C5:F5)*4%</f>
        <v>82933.333333333343</v>
      </c>
      <c r="H5" s="25">
        <f>SUM(C5:F5)*4%</f>
        <v>82933.333333333343</v>
      </c>
      <c r="I5" s="25">
        <f>SUM(C5:F5)*0.522%</f>
        <v>10822.800000000001</v>
      </c>
      <c r="J5" s="25">
        <f>(C5+D5+E5+F5)*8.33%</f>
        <v>172708.66666666669</v>
      </c>
      <c r="K5" s="25">
        <f>(C5+D5+E5+F5)*8.33%</f>
        <v>172708.66666666669</v>
      </c>
      <c r="L5" s="25">
        <f>(C5+D5+F5)*4.17%</f>
        <v>86458.000000000015</v>
      </c>
      <c r="M5" s="25">
        <f>K5*1%</f>
        <v>1727.0866666666668</v>
      </c>
    </row>
    <row r="6" spans="2:13" x14ac:dyDescent="0.25">
      <c r="B6" s="23" t="s">
        <v>43</v>
      </c>
      <c r="C6" s="24">
        <f>NOMINA!E8+NOMINA!J8</f>
        <v>1251900</v>
      </c>
      <c r="D6" s="24">
        <f>+NOMINA!H8</f>
        <v>0</v>
      </c>
      <c r="E6" s="24">
        <f>+NOMINA!G8</f>
        <v>83140</v>
      </c>
      <c r="F6" s="24">
        <f>SUM(NOMINA!M8,NOMINA!P8,NOMINA!R8)</f>
        <v>44606.25</v>
      </c>
      <c r="G6" s="25">
        <f t="shared" ref="G6:G13" si="0">SUM(C6:F6)*4%</f>
        <v>55185.85</v>
      </c>
      <c r="H6" s="25">
        <f t="shared" ref="H6:H13" si="1">SUM(C6:F6)*4%</f>
        <v>55185.85</v>
      </c>
      <c r="I6" s="25">
        <f t="shared" ref="I6:I13" si="2">SUM(C6:F6)*0.522%</f>
        <v>7201.7534249999999</v>
      </c>
      <c r="J6" s="25">
        <f t="shared" ref="J6:J13" si="3">(C6+D6+E6+F6)*8.33%</f>
        <v>114924.53262499999</v>
      </c>
      <c r="K6" s="25">
        <f t="shared" ref="K6:K13" si="4">(C6+D6+E6+F6)*8.33%</f>
        <v>114924.53262499999</v>
      </c>
      <c r="L6" s="25">
        <f t="shared" ref="L6:L13" si="5">(C6+D6+F6)*4.17%</f>
        <v>54064.310624999998</v>
      </c>
      <c r="M6" s="25">
        <f t="shared" ref="M6:M13" si="6">K6*1%</f>
        <v>1149.2453262500001</v>
      </c>
    </row>
    <row r="7" spans="2:13" x14ac:dyDescent="0.25">
      <c r="B7" s="23" t="s">
        <v>44</v>
      </c>
      <c r="C7" s="24">
        <f>NOMINA!E9+NOMINA!J9</f>
        <v>900000</v>
      </c>
      <c r="D7" s="24">
        <f>+NOMINA!H9</f>
        <v>0</v>
      </c>
      <c r="E7" s="24">
        <f>+NOMINA!G9</f>
        <v>83140</v>
      </c>
      <c r="F7" s="24">
        <f>SUM(NOMINA!M9,NOMINA!P9,NOMINA!R9)</f>
        <v>41625</v>
      </c>
      <c r="G7" s="25">
        <f t="shared" si="0"/>
        <v>40990.6</v>
      </c>
      <c r="H7" s="25">
        <f t="shared" si="1"/>
        <v>40990.6</v>
      </c>
      <c r="I7" s="25">
        <f t="shared" si="2"/>
        <v>5349.2732999999998</v>
      </c>
      <c r="J7" s="25">
        <f t="shared" si="3"/>
        <v>85362.924499999994</v>
      </c>
      <c r="K7" s="25">
        <f t="shared" si="4"/>
        <v>85362.924499999994</v>
      </c>
      <c r="L7" s="25">
        <f t="shared" si="5"/>
        <v>39265.762500000004</v>
      </c>
      <c r="M7" s="25">
        <f t="shared" si="6"/>
        <v>853.62924499999997</v>
      </c>
    </row>
    <row r="8" spans="2:13" x14ac:dyDescent="0.25">
      <c r="B8" s="23" t="s">
        <v>45</v>
      </c>
      <c r="C8" s="24">
        <f>NOMINA!E10+NOMINA!J10</f>
        <v>737717</v>
      </c>
      <c r="D8" s="24">
        <f>+NOMINA!H10</f>
        <v>0</v>
      </c>
      <c r="E8" s="24">
        <f>+NOMINA!G10</f>
        <v>83140</v>
      </c>
      <c r="F8" s="24">
        <f>SUM(NOMINA!M10,NOMINA!P10,NOMINA!R10)</f>
        <v>36885.850000000006</v>
      </c>
      <c r="G8" s="25">
        <f t="shared" si="0"/>
        <v>34309.714</v>
      </c>
      <c r="H8" s="25">
        <f t="shared" si="1"/>
        <v>34309.714</v>
      </c>
      <c r="I8" s="25">
        <f t="shared" si="2"/>
        <v>4477.4176769999995</v>
      </c>
      <c r="J8" s="25">
        <f t="shared" si="3"/>
        <v>71449.979404999991</v>
      </c>
      <c r="K8" s="25">
        <f t="shared" si="4"/>
        <v>71449.979404999991</v>
      </c>
      <c r="L8" s="25">
        <f t="shared" si="5"/>
        <v>32300.938845000001</v>
      </c>
      <c r="M8" s="25">
        <f t="shared" si="6"/>
        <v>714.49979404999988</v>
      </c>
    </row>
    <row r="9" spans="2:13" x14ac:dyDescent="0.25">
      <c r="B9" s="23" t="s">
        <v>50</v>
      </c>
      <c r="C9" s="24">
        <f>NOMINA!E11+NOMINA!J11</f>
        <v>720667.54044444452</v>
      </c>
      <c r="D9" s="24">
        <f>+NOMINA!H11</f>
        <v>80000</v>
      </c>
      <c r="E9" s="24">
        <f>+NOMINA!G11</f>
        <v>83140</v>
      </c>
      <c r="F9" s="24">
        <f>SUM(NOMINA!M11,NOMINA!P11,NOMINA!R11)</f>
        <v>21229.855888888887</v>
      </c>
      <c r="G9" s="25">
        <f t="shared" si="0"/>
        <v>36201.495853333341</v>
      </c>
      <c r="H9" s="25">
        <f t="shared" si="1"/>
        <v>36201.495853333341</v>
      </c>
      <c r="I9" s="25">
        <f t="shared" si="2"/>
        <v>4724.2952088600005</v>
      </c>
      <c r="J9" s="25">
        <f t="shared" si="3"/>
        <v>75389.615114566681</v>
      </c>
      <c r="K9" s="25">
        <f t="shared" si="4"/>
        <v>75389.615114566681</v>
      </c>
      <c r="L9" s="25">
        <f t="shared" si="5"/>
        <v>34273.121427100006</v>
      </c>
      <c r="M9" s="25">
        <f t="shared" si="6"/>
        <v>753.89615114566686</v>
      </c>
    </row>
    <row r="10" spans="2:13" x14ac:dyDescent="0.25">
      <c r="B10" s="23" t="s">
        <v>46</v>
      </c>
      <c r="C10" s="24">
        <f>NOMINA!E12+NOMINA!J12</f>
        <v>791377.77777777787</v>
      </c>
      <c r="D10" s="24">
        <f>+NOMINA!H12</f>
        <v>0</v>
      </c>
      <c r="E10" s="24">
        <f>+NOMINA!G12</f>
        <v>83140</v>
      </c>
      <c r="F10" s="24">
        <f>SUM(NOMINA!M12,NOMINA!P12,NOMINA!R12)</f>
        <v>34800</v>
      </c>
      <c r="G10" s="25">
        <f t="shared" si="0"/>
        <v>36372.711111111115</v>
      </c>
      <c r="H10" s="25">
        <f t="shared" si="1"/>
        <v>36372.711111111115</v>
      </c>
      <c r="I10" s="25">
        <f t="shared" si="2"/>
        <v>4746.6388000000006</v>
      </c>
      <c r="J10" s="25">
        <f t="shared" si="3"/>
        <v>75746.170888888897</v>
      </c>
      <c r="K10" s="25">
        <f t="shared" si="4"/>
        <v>75746.170888888897</v>
      </c>
      <c r="L10" s="25">
        <f t="shared" si="5"/>
        <v>34451.613333333335</v>
      </c>
      <c r="M10" s="25">
        <f t="shared" si="6"/>
        <v>757.46170888888901</v>
      </c>
    </row>
    <row r="11" spans="2:13" x14ac:dyDescent="0.25">
      <c r="B11" s="23" t="s">
        <v>47</v>
      </c>
      <c r="C11" s="24">
        <f>NOMINA!E13+NOMINA!J13</f>
        <v>900000</v>
      </c>
      <c r="D11" s="24">
        <f>+NOMINA!H13</f>
        <v>0</v>
      </c>
      <c r="E11" s="24">
        <f>+NOMINA!G13</f>
        <v>83140</v>
      </c>
      <c r="F11" s="24">
        <f>SUM(NOMINA!M13,NOMINA!P13,NOMINA!R13)</f>
        <v>47812.5</v>
      </c>
      <c r="G11" s="25">
        <f t="shared" si="0"/>
        <v>41238.1</v>
      </c>
      <c r="H11" s="25">
        <f t="shared" si="1"/>
        <v>41238.1</v>
      </c>
      <c r="I11" s="25">
        <f t="shared" si="2"/>
        <v>5381.5720499999998</v>
      </c>
      <c r="J11" s="25">
        <f t="shared" si="3"/>
        <v>85878.343250000005</v>
      </c>
      <c r="K11" s="25">
        <f t="shared" si="4"/>
        <v>85878.343250000005</v>
      </c>
      <c r="L11" s="25">
        <f t="shared" si="5"/>
        <v>39523.78125</v>
      </c>
      <c r="M11" s="25">
        <f t="shared" si="6"/>
        <v>858.78343250000012</v>
      </c>
    </row>
    <row r="12" spans="2:13" x14ac:dyDescent="0.25">
      <c r="B12" s="23" t="s">
        <v>48</v>
      </c>
      <c r="C12" s="24">
        <f>NOMINA!E14+NOMINA!J14</f>
        <v>737717</v>
      </c>
      <c r="D12" s="24">
        <f>+NOMINA!H14</f>
        <v>0</v>
      </c>
      <c r="E12" s="24">
        <f>+NOMINA!G14</f>
        <v>83140</v>
      </c>
      <c r="F12" s="24">
        <f>SUM(NOMINA!M14,NOMINA!P14,NOMINA!R14)</f>
        <v>21055.672708333332</v>
      </c>
      <c r="G12" s="25">
        <f t="shared" si="0"/>
        <v>33676.506908333336</v>
      </c>
      <c r="H12" s="25">
        <f t="shared" si="1"/>
        <v>33676.506908333336</v>
      </c>
      <c r="I12" s="25">
        <f t="shared" si="2"/>
        <v>4394.7841515375003</v>
      </c>
      <c r="J12" s="25">
        <f t="shared" si="3"/>
        <v>70131.325636604161</v>
      </c>
      <c r="K12" s="25">
        <f t="shared" si="4"/>
        <v>70131.325636604161</v>
      </c>
      <c r="L12" s="25">
        <f t="shared" si="5"/>
        <v>31640.820451937503</v>
      </c>
      <c r="M12" s="25">
        <f t="shared" si="6"/>
        <v>701.31325636604163</v>
      </c>
    </row>
    <row r="13" spans="2:13" x14ac:dyDescent="0.25">
      <c r="B13" s="23" t="s">
        <v>49</v>
      </c>
      <c r="C13" s="24">
        <f>NOMINA!E15+NOMINA!J15</f>
        <v>737717</v>
      </c>
      <c r="D13" s="24">
        <f>+NOMINA!H15</f>
        <v>100000</v>
      </c>
      <c r="E13" s="24">
        <f>+NOMINA!G15</f>
        <v>83140</v>
      </c>
      <c r="F13" s="24">
        <f>SUM(NOMINA!M15,NOMINA!P15,NOMINA!R15)</f>
        <v>27049.623333333329</v>
      </c>
      <c r="G13" s="25">
        <f t="shared" si="0"/>
        <v>37916.264933333332</v>
      </c>
      <c r="H13" s="25">
        <f t="shared" si="1"/>
        <v>37916.264933333332</v>
      </c>
      <c r="I13" s="25">
        <f t="shared" si="2"/>
        <v>4948.0725737999992</v>
      </c>
      <c r="J13" s="25">
        <f t="shared" si="3"/>
        <v>78960.621723666656</v>
      </c>
      <c r="K13" s="25">
        <f t="shared" si="4"/>
        <v>78960.621723666656</v>
      </c>
      <c r="L13" s="25">
        <f t="shared" si="5"/>
        <v>36060.768192999996</v>
      </c>
      <c r="M13" s="25">
        <f t="shared" si="6"/>
        <v>789.60621723666657</v>
      </c>
    </row>
  </sheetData>
  <mergeCells count="1">
    <mergeCell ref="B2:M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2:O93"/>
  <sheetViews>
    <sheetView workbookViewId="0">
      <selection activeCell="G89" sqref="G88:G89"/>
    </sheetView>
  </sheetViews>
  <sheetFormatPr baseColWidth="10" defaultRowHeight="15" x14ac:dyDescent="0.25"/>
  <cols>
    <col min="1" max="1" width="26.85546875" customWidth="1"/>
    <col min="2" max="2" width="13.5703125" bestFit="1" customWidth="1"/>
    <col min="3" max="3" width="30.7109375" bestFit="1" customWidth="1"/>
    <col min="4" max="4" width="17" customWidth="1"/>
    <col min="5" max="5" width="15.7109375" customWidth="1"/>
    <col min="8" max="8" width="24.140625" bestFit="1" customWidth="1"/>
    <col min="10" max="10" width="10.5703125" bestFit="1" customWidth="1"/>
    <col min="13" max="13" width="25.85546875" bestFit="1" customWidth="1"/>
  </cols>
  <sheetData>
    <row r="2" spans="1:15" ht="21" x14ac:dyDescent="0.35">
      <c r="A2" s="38" t="s">
        <v>68</v>
      </c>
      <c r="B2" s="38"/>
      <c r="C2" s="38"/>
      <c r="D2" s="38"/>
      <c r="E2" s="38"/>
    </row>
    <row r="4" spans="1:15" x14ac:dyDescent="0.25">
      <c r="A4" s="29" t="s">
        <v>55</v>
      </c>
      <c r="B4" s="39" t="s">
        <v>24</v>
      </c>
      <c r="C4" s="39" t="s">
        <v>25</v>
      </c>
      <c r="D4" s="39" t="s">
        <v>26</v>
      </c>
      <c r="E4" s="39" t="s">
        <v>27</v>
      </c>
    </row>
    <row r="5" spans="1:15" x14ac:dyDescent="0.25">
      <c r="A5" s="29"/>
      <c r="B5" s="2">
        <v>510506</v>
      </c>
      <c r="C5" s="2" t="s">
        <v>28</v>
      </c>
      <c r="D5" s="3">
        <f>+APROPIACIONES!C5</f>
        <v>2000000.0000000002</v>
      </c>
      <c r="E5" s="2"/>
    </row>
    <row r="6" spans="1:15" x14ac:dyDescent="0.25">
      <c r="A6" s="29"/>
      <c r="B6" s="2">
        <v>510507</v>
      </c>
      <c r="C6" s="2" t="s">
        <v>63</v>
      </c>
      <c r="D6" s="3">
        <f>+APROPIACIONES!E5</f>
        <v>0</v>
      </c>
      <c r="E6" s="2"/>
    </row>
    <row r="7" spans="1:15" x14ac:dyDescent="0.25">
      <c r="A7" s="29"/>
      <c r="B7" s="2">
        <v>510527</v>
      </c>
      <c r="C7" s="2" t="s">
        <v>64</v>
      </c>
      <c r="D7" s="3">
        <f>+APROPIACIONES!D5+APROPIACIONES!F5</f>
        <v>73333.333333333343</v>
      </c>
      <c r="E7" s="2"/>
    </row>
    <row r="8" spans="1:15" x14ac:dyDescent="0.25">
      <c r="A8" s="29"/>
      <c r="B8" s="2">
        <v>237006</v>
      </c>
      <c r="C8" s="2" t="s">
        <v>31</v>
      </c>
      <c r="D8" s="6"/>
      <c r="E8" s="3">
        <f>+APROPIACIONES!G5</f>
        <v>82933.333333333343</v>
      </c>
    </row>
    <row r="9" spans="1:15" x14ac:dyDescent="0.25">
      <c r="A9" s="29"/>
      <c r="B9" s="2">
        <v>238006</v>
      </c>
      <c r="C9" s="2" t="s">
        <v>32</v>
      </c>
      <c r="D9" s="2"/>
      <c r="E9" s="3">
        <f>+APROPIACIONES!H5</f>
        <v>82933.333333333343</v>
      </c>
    </row>
    <row r="10" spans="1:15" x14ac:dyDescent="0.25">
      <c r="A10" s="29"/>
      <c r="B10" s="2">
        <v>250505</v>
      </c>
      <c r="C10" s="2" t="s">
        <v>33</v>
      </c>
      <c r="D10" s="2"/>
      <c r="E10" s="3">
        <f>D11-E8-E9</f>
        <v>1907466.666666667</v>
      </c>
    </row>
    <row r="11" spans="1:15" x14ac:dyDescent="0.25">
      <c r="A11" s="29"/>
      <c r="B11" s="21" t="s">
        <v>62</v>
      </c>
      <c r="C11" s="22"/>
      <c r="D11" s="13">
        <f>SUM(D5:D7)</f>
        <v>2073333.3333333335</v>
      </c>
      <c r="E11" s="3">
        <f>SUM(E8:E10)</f>
        <v>2073333.3333333337</v>
      </c>
    </row>
    <row r="13" spans="1:15" x14ac:dyDescent="0.25">
      <c r="A13" s="30" t="s">
        <v>51</v>
      </c>
      <c r="B13" s="39" t="s">
        <v>24</v>
      </c>
      <c r="C13" s="39" t="s">
        <v>25</v>
      </c>
      <c r="D13" s="39" t="s">
        <v>26</v>
      </c>
      <c r="E13" s="39" t="s">
        <v>27</v>
      </c>
      <c r="I13" s="5"/>
      <c r="J13" s="5"/>
      <c r="O13" s="5"/>
    </row>
    <row r="14" spans="1:15" x14ac:dyDescent="0.25">
      <c r="A14" s="30"/>
      <c r="B14" s="2">
        <v>510506</v>
      </c>
      <c r="C14" s="2" t="s">
        <v>28</v>
      </c>
      <c r="D14" s="15">
        <f>+NOMINA!E8</f>
        <v>1170000</v>
      </c>
      <c r="E14" s="2"/>
    </row>
    <row r="15" spans="1:15" x14ac:dyDescent="0.25">
      <c r="A15" s="30"/>
      <c r="B15" s="2">
        <v>510527</v>
      </c>
      <c r="C15" s="2" t="s">
        <v>30</v>
      </c>
      <c r="D15" s="17">
        <f>+APROPIACIONES!E6</f>
        <v>83140</v>
      </c>
      <c r="E15" s="2"/>
    </row>
    <row r="16" spans="1:15" x14ac:dyDescent="0.25">
      <c r="A16" s="30"/>
      <c r="B16" s="2">
        <v>510524</v>
      </c>
      <c r="C16" s="7" t="s">
        <v>65</v>
      </c>
      <c r="D16" s="3">
        <f>+NOMINA!J8</f>
        <v>81900</v>
      </c>
      <c r="E16" s="2"/>
    </row>
    <row r="17" spans="1:7" x14ac:dyDescent="0.25">
      <c r="A17" s="30"/>
      <c r="B17" s="2">
        <v>510527</v>
      </c>
      <c r="C17" s="7" t="s">
        <v>29</v>
      </c>
      <c r="D17" s="20">
        <f>+APROPIACIONES!F6</f>
        <v>44606.25</v>
      </c>
      <c r="E17" s="2"/>
    </row>
    <row r="18" spans="1:7" x14ac:dyDescent="0.25">
      <c r="A18" s="30"/>
      <c r="B18" s="2">
        <v>237006</v>
      </c>
      <c r="C18" s="2" t="s">
        <v>31</v>
      </c>
      <c r="D18" s="14"/>
      <c r="E18" s="16">
        <f>D21*4%</f>
        <v>55185.85</v>
      </c>
    </row>
    <row r="19" spans="1:7" x14ac:dyDescent="0.25">
      <c r="A19" s="30"/>
      <c r="B19" s="2">
        <v>238030</v>
      </c>
      <c r="C19" s="2" t="s">
        <v>32</v>
      </c>
      <c r="D19" s="2"/>
      <c r="E19" s="16">
        <f>D21*4%</f>
        <v>55185.85</v>
      </c>
    </row>
    <row r="20" spans="1:7" x14ac:dyDescent="0.25">
      <c r="A20" s="30"/>
      <c r="B20" s="2">
        <v>250505</v>
      </c>
      <c r="C20" s="2" t="s">
        <v>33</v>
      </c>
      <c r="D20" s="2"/>
      <c r="E20" s="3">
        <f>D21-E18-E19</f>
        <v>1269274.5499999998</v>
      </c>
    </row>
    <row r="21" spans="1:7" x14ac:dyDescent="0.25">
      <c r="A21" s="30"/>
      <c r="B21" s="21" t="s">
        <v>62</v>
      </c>
      <c r="C21" s="22"/>
      <c r="D21" s="3">
        <f>SUM(D14:D17)</f>
        <v>1379646.25</v>
      </c>
      <c r="E21" s="3">
        <f>SUM(E18:E20)</f>
        <v>1379646.2499999998</v>
      </c>
    </row>
    <row r="23" spans="1:7" x14ac:dyDescent="0.25">
      <c r="A23" s="31" t="s">
        <v>52</v>
      </c>
      <c r="B23" s="39" t="s">
        <v>24</v>
      </c>
      <c r="C23" s="39" t="s">
        <v>25</v>
      </c>
      <c r="D23" s="39" t="s">
        <v>26</v>
      </c>
      <c r="E23" s="39" t="s">
        <v>27</v>
      </c>
    </row>
    <row r="24" spans="1:7" x14ac:dyDescent="0.25">
      <c r="A24" s="31"/>
      <c r="B24" s="2">
        <v>510506</v>
      </c>
      <c r="C24" s="2" t="s">
        <v>28</v>
      </c>
      <c r="D24" s="18">
        <f>+APROPIACIONES!C7</f>
        <v>900000</v>
      </c>
      <c r="E24" s="2"/>
    </row>
    <row r="25" spans="1:7" x14ac:dyDescent="0.25">
      <c r="A25" s="31"/>
      <c r="B25" s="2">
        <v>510515</v>
      </c>
      <c r="C25" s="2" t="s">
        <v>29</v>
      </c>
      <c r="D25" s="3">
        <f>+APROPIACIONES!F7</f>
        <v>41625</v>
      </c>
      <c r="E25" s="2"/>
    </row>
    <row r="26" spans="1:7" x14ac:dyDescent="0.25">
      <c r="A26" s="31"/>
      <c r="B26" s="18">
        <f>SUM(D24:D28)</f>
        <v>1024765</v>
      </c>
      <c r="C26" s="2" t="s">
        <v>30</v>
      </c>
      <c r="D26" s="17">
        <f>+APROPIACIONES!E7</f>
        <v>83140</v>
      </c>
      <c r="E26" s="2"/>
    </row>
    <row r="27" spans="1:7" x14ac:dyDescent="0.25">
      <c r="A27" s="31"/>
      <c r="B27" s="2">
        <v>237006</v>
      </c>
      <c r="C27" s="2" t="s">
        <v>31</v>
      </c>
      <c r="D27" s="6"/>
      <c r="E27" s="9">
        <f>D30*4%</f>
        <v>40990.6</v>
      </c>
    </row>
    <row r="28" spans="1:7" x14ac:dyDescent="0.25">
      <c r="A28" s="31"/>
      <c r="B28" s="2">
        <v>238030</v>
      </c>
      <c r="C28" s="2" t="s">
        <v>32</v>
      </c>
      <c r="D28" s="2"/>
      <c r="E28" s="9">
        <f>D30*4%</f>
        <v>40990.6</v>
      </c>
    </row>
    <row r="29" spans="1:7" x14ac:dyDescent="0.25">
      <c r="A29" s="31"/>
      <c r="B29" s="2">
        <v>250505</v>
      </c>
      <c r="C29" s="2" t="s">
        <v>33</v>
      </c>
      <c r="D29" s="3"/>
      <c r="E29" s="3">
        <f>D30-E27-E28</f>
        <v>942783.8</v>
      </c>
    </row>
    <row r="30" spans="1:7" x14ac:dyDescent="0.25">
      <c r="A30" s="31"/>
      <c r="B30" s="21" t="s">
        <v>62</v>
      </c>
      <c r="C30" s="22"/>
      <c r="D30" s="13">
        <f>SUM(D24:D26)</f>
        <v>1024765</v>
      </c>
      <c r="E30" s="3">
        <f>SUM(E27:E29)</f>
        <v>1024765</v>
      </c>
      <c r="G30" s="5"/>
    </row>
    <row r="31" spans="1:7" x14ac:dyDescent="0.25">
      <c r="G31" s="5"/>
    </row>
    <row r="32" spans="1:7" x14ac:dyDescent="0.25">
      <c r="A32" s="32" t="s">
        <v>53</v>
      </c>
      <c r="B32" s="39" t="s">
        <v>24</v>
      </c>
      <c r="C32" s="39" t="s">
        <v>25</v>
      </c>
      <c r="D32" s="39" t="s">
        <v>26</v>
      </c>
      <c r="E32" s="39" t="s">
        <v>27</v>
      </c>
    </row>
    <row r="33" spans="1:8" x14ac:dyDescent="0.25">
      <c r="A33" s="32"/>
      <c r="B33" s="2">
        <v>510506</v>
      </c>
      <c r="C33" s="2" t="s">
        <v>28</v>
      </c>
      <c r="D33" s="8">
        <f>+APROPIACIONES!C8</f>
        <v>737717</v>
      </c>
      <c r="E33" s="2"/>
    </row>
    <row r="34" spans="1:8" x14ac:dyDescent="0.25">
      <c r="A34" s="32"/>
      <c r="B34" s="2">
        <v>510527</v>
      </c>
      <c r="C34" s="2" t="s">
        <v>30</v>
      </c>
      <c r="D34" s="17">
        <f>+APROPIACIONES!E8</f>
        <v>83140</v>
      </c>
      <c r="E34" s="2"/>
    </row>
    <row r="35" spans="1:8" x14ac:dyDescent="0.25">
      <c r="A35" s="32"/>
      <c r="B35" s="2">
        <v>510515</v>
      </c>
      <c r="C35" s="2" t="s">
        <v>67</v>
      </c>
      <c r="D35" s="19">
        <f>+APROPIACIONES!F8</f>
        <v>36885.850000000006</v>
      </c>
      <c r="E35" s="2"/>
    </row>
    <row r="36" spans="1:8" x14ac:dyDescent="0.25">
      <c r="A36" s="32"/>
      <c r="B36" s="2">
        <v>237006</v>
      </c>
      <c r="C36" s="2" t="s">
        <v>31</v>
      </c>
      <c r="D36" s="6"/>
      <c r="E36" s="9">
        <f>$D$39*4%</f>
        <v>34309.714</v>
      </c>
    </row>
    <row r="37" spans="1:8" x14ac:dyDescent="0.25">
      <c r="A37" s="32"/>
      <c r="B37" s="2">
        <v>238030</v>
      </c>
      <c r="C37" s="2" t="s">
        <v>32</v>
      </c>
      <c r="D37" s="2"/>
      <c r="E37" s="9">
        <f>$D$39*4%</f>
        <v>34309.714</v>
      </c>
    </row>
    <row r="38" spans="1:8" x14ac:dyDescent="0.25">
      <c r="A38" s="32"/>
      <c r="B38" s="2">
        <v>250505</v>
      </c>
      <c r="C38" s="2" t="s">
        <v>33</v>
      </c>
      <c r="D38" s="2"/>
      <c r="E38" s="3">
        <f>D39-E37-E36</f>
        <v>789123.4219999999</v>
      </c>
    </row>
    <row r="39" spans="1:8" x14ac:dyDescent="0.25">
      <c r="A39" s="32"/>
      <c r="B39" s="21" t="s">
        <v>62</v>
      </c>
      <c r="C39" s="22"/>
      <c r="D39" s="3">
        <f>SUM(D33:D35)</f>
        <v>857742.85</v>
      </c>
      <c r="E39" s="3">
        <f>SUM(E36:E38)</f>
        <v>857742.84999999986</v>
      </c>
    </row>
    <row r="41" spans="1:8" x14ac:dyDescent="0.25">
      <c r="A41" s="33" t="s">
        <v>54</v>
      </c>
      <c r="B41" s="39" t="s">
        <v>24</v>
      </c>
      <c r="C41" s="39" t="s">
        <v>25</v>
      </c>
      <c r="D41" s="39" t="s">
        <v>26</v>
      </c>
      <c r="E41" s="39" t="s">
        <v>27</v>
      </c>
    </row>
    <row r="42" spans="1:8" x14ac:dyDescent="0.25">
      <c r="A42" s="33"/>
      <c r="B42" s="2">
        <v>510506</v>
      </c>
      <c r="C42" s="2" t="s">
        <v>28</v>
      </c>
      <c r="D42" s="8">
        <f>+NOMINA!E11</f>
        <v>688535.8666666667</v>
      </c>
      <c r="E42" s="2"/>
      <c r="H42" s="4"/>
    </row>
    <row r="43" spans="1:8" x14ac:dyDescent="0.25">
      <c r="A43" s="33"/>
      <c r="B43" s="2">
        <v>510527</v>
      </c>
      <c r="C43" s="2" t="s">
        <v>30</v>
      </c>
      <c r="D43" s="8">
        <f>+APROPIACIONES!E9</f>
        <v>83140</v>
      </c>
      <c r="E43" s="2"/>
      <c r="H43" s="4"/>
    </row>
    <row r="44" spans="1:8" x14ac:dyDescent="0.25">
      <c r="A44" s="33"/>
      <c r="B44" s="2">
        <v>510515</v>
      </c>
      <c r="C44" s="2" t="s">
        <v>66</v>
      </c>
      <c r="D44" s="8">
        <f>SUM(APROPIACIONES!D9,APROPIACIONES!F9)</f>
        <v>101229.85588888888</v>
      </c>
      <c r="E44" s="2"/>
      <c r="H44" s="4"/>
    </row>
    <row r="45" spans="1:8" x14ac:dyDescent="0.25">
      <c r="A45" s="33"/>
      <c r="B45" s="2">
        <v>510524</v>
      </c>
      <c r="C45" s="2" t="s">
        <v>65</v>
      </c>
      <c r="D45" s="8">
        <f>+NOMINA!J11</f>
        <v>32131.673777777778</v>
      </c>
      <c r="E45" s="2"/>
      <c r="H45" s="4"/>
    </row>
    <row r="46" spans="1:8" x14ac:dyDescent="0.25">
      <c r="A46" s="33"/>
      <c r="B46" s="2">
        <v>237006</v>
      </c>
      <c r="C46" s="2" t="s">
        <v>31</v>
      </c>
      <c r="D46" s="6"/>
      <c r="E46" s="9">
        <f>$D$49*4%</f>
        <v>36201.495853333341</v>
      </c>
    </row>
    <row r="47" spans="1:8" x14ac:dyDescent="0.25">
      <c r="A47" s="33"/>
      <c r="B47" s="2">
        <v>238030</v>
      </c>
      <c r="C47" s="2" t="s">
        <v>32</v>
      </c>
      <c r="D47" s="2"/>
      <c r="E47" s="9">
        <f>$D$49*4%</f>
        <v>36201.495853333341</v>
      </c>
    </row>
    <row r="48" spans="1:8" x14ac:dyDescent="0.25">
      <c r="A48" s="33"/>
      <c r="B48" s="2">
        <v>250505</v>
      </c>
      <c r="C48" s="2" t="s">
        <v>33</v>
      </c>
      <c r="D48" s="2"/>
      <c r="E48" s="3">
        <f>D49-E47-E46</f>
        <v>832634.40462666668</v>
      </c>
    </row>
    <row r="49" spans="1:5" x14ac:dyDescent="0.25">
      <c r="A49" s="33"/>
      <c r="B49" s="21" t="s">
        <v>62</v>
      </c>
      <c r="C49" s="22"/>
      <c r="D49" s="3">
        <f>SUM(D40:D46)</f>
        <v>905037.39633333345</v>
      </c>
      <c r="E49" s="3">
        <f>SUM(E42:E48)</f>
        <v>905037.39633333334</v>
      </c>
    </row>
    <row r="50" spans="1:5" x14ac:dyDescent="0.25">
      <c r="E50" t="s">
        <v>69</v>
      </c>
    </row>
    <row r="51" spans="1:5" x14ac:dyDescent="0.25">
      <c r="A51" s="34" t="s">
        <v>56</v>
      </c>
      <c r="B51" s="39" t="s">
        <v>24</v>
      </c>
      <c r="C51" s="39" t="s">
        <v>25</v>
      </c>
      <c r="D51" s="39" t="s">
        <v>26</v>
      </c>
      <c r="E51" s="39" t="s">
        <v>27</v>
      </c>
    </row>
    <row r="52" spans="1:5" x14ac:dyDescent="0.25">
      <c r="A52" s="34"/>
      <c r="B52" s="2">
        <v>510506</v>
      </c>
      <c r="C52" s="2" t="s">
        <v>28</v>
      </c>
      <c r="D52" s="8">
        <f>+NOMINA!E12</f>
        <v>773333.33333333337</v>
      </c>
      <c r="E52" s="2"/>
    </row>
    <row r="53" spans="1:5" x14ac:dyDescent="0.25">
      <c r="A53" s="34"/>
      <c r="B53" s="2">
        <v>510527</v>
      </c>
      <c r="C53" s="2" t="s">
        <v>30</v>
      </c>
      <c r="D53" s="17">
        <f>+APROPIACIONES!E10</f>
        <v>83140</v>
      </c>
      <c r="E53" s="2"/>
    </row>
    <row r="54" spans="1:5" x14ac:dyDescent="0.25">
      <c r="A54" s="34"/>
      <c r="B54" s="2">
        <v>510515</v>
      </c>
      <c r="C54" s="2" t="s">
        <v>29</v>
      </c>
      <c r="D54" s="19">
        <f>+APROPIACIONES!F10</f>
        <v>34800</v>
      </c>
      <c r="E54" s="2"/>
    </row>
    <row r="55" spans="1:5" x14ac:dyDescent="0.25">
      <c r="A55" s="34"/>
      <c r="B55" s="2">
        <v>510524</v>
      </c>
      <c r="C55" s="7" t="s">
        <v>65</v>
      </c>
      <c r="D55" s="19">
        <f>+NOMINA!J12</f>
        <v>18044.444444444442</v>
      </c>
      <c r="E55" s="2"/>
    </row>
    <row r="56" spans="1:5" x14ac:dyDescent="0.25">
      <c r="A56" s="34"/>
      <c r="B56" s="2">
        <v>237006</v>
      </c>
      <c r="C56" s="2" t="s">
        <v>31</v>
      </c>
      <c r="D56" s="6"/>
      <c r="E56" s="9">
        <f>D59*4%</f>
        <v>36372.711111111115</v>
      </c>
    </row>
    <row r="57" spans="1:5" x14ac:dyDescent="0.25">
      <c r="A57" s="34"/>
      <c r="B57" s="2">
        <v>238030</v>
      </c>
      <c r="C57" s="2" t="s">
        <v>32</v>
      </c>
      <c r="D57" s="2"/>
      <c r="E57" s="9">
        <f>D59*4%</f>
        <v>36372.711111111115</v>
      </c>
    </row>
    <row r="58" spans="1:5" x14ac:dyDescent="0.25">
      <c r="A58" s="34"/>
      <c r="B58" s="2">
        <v>250505</v>
      </c>
      <c r="C58" s="2" t="s">
        <v>33</v>
      </c>
      <c r="D58" s="2"/>
      <c r="E58" s="3">
        <f>D59-E56-E57</f>
        <v>836572.35555555567</v>
      </c>
    </row>
    <row r="59" spans="1:5" x14ac:dyDescent="0.25">
      <c r="A59" s="34"/>
      <c r="B59" s="21" t="s">
        <v>62</v>
      </c>
      <c r="C59" s="22"/>
      <c r="D59" s="3">
        <f>SUM(D52:D55)</f>
        <v>909317.77777777787</v>
      </c>
      <c r="E59" s="3">
        <f>SUM(E56:E58)</f>
        <v>909317.77777777787</v>
      </c>
    </row>
    <row r="61" spans="1:5" x14ac:dyDescent="0.25">
      <c r="A61" s="35" t="s">
        <v>57</v>
      </c>
      <c r="B61" s="39" t="s">
        <v>24</v>
      </c>
      <c r="C61" s="39" t="s">
        <v>25</v>
      </c>
      <c r="D61" s="39" t="s">
        <v>26</v>
      </c>
      <c r="E61" s="39" t="s">
        <v>27</v>
      </c>
    </row>
    <row r="62" spans="1:5" x14ac:dyDescent="0.25">
      <c r="A62" s="35"/>
      <c r="B62" s="2">
        <v>510506</v>
      </c>
      <c r="C62" s="2" t="s">
        <v>28</v>
      </c>
      <c r="D62" s="8">
        <f>+APROPIACIONES!C11</f>
        <v>900000</v>
      </c>
      <c r="E62" s="2"/>
    </row>
    <row r="63" spans="1:5" x14ac:dyDescent="0.25">
      <c r="A63" s="35"/>
      <c r="B63" s="2">
        <v>510527</v>
      </c>
      <c r="C63" s="2" t="s">
        <v>30</v>
      </c>
      <c r="D63" s="17">
        <f>+APROPIACIONES!E11</f>
        <v>83140</v>
      </c>
      <c r="E63" s="2"/>
    </row>
    <row r="64" spans="1:5" x14ac:dyDescent="0.25">
      <c r="A64" s="35"/>
      <c r="B64" s="2">
        <v>510515</v>
      </c>
      <c r="C64" s="2" t="s">
        <v>29</v>
      </c>
      <c r="D64" s="8">
        <f>+APROPIACIONES!F11</f>
        <v>47812.5</v>
      </c>
      <c r="E64" s="2"/>
    </row>
    <row r="65" spans="1:5" x14ac:dyDescent="0.25">
      <c r="A65" s="35"/>
      <c r="B65" s="2">
        <v>237006</v>
      </c>
      <c r="C65" s="2" t="s">
        <v>31</v>
      </c>
      <c r="D65" s="6"/>
      <c r="E65" s="9">
        <f>D68*4%</f>
        <v>41238.1</v>
      </c>
    </row>
    <row r="66" spans="1:5" x14ac:dyDescent="0.25">
      <c r="A66" s="35"/>
      <c r="B66" s="2">
        <v>238030</v>
      </c>
      <c r="C66" s="2" t="s">
        <v>32</v>
      </c>
      <c r="D66" s="2"/>
      <c r="E66" s="9">
        <f>D68*4%</f>
        <v>41238.1</v>
      </c>
    </row>
    <row r="67" spans="1:5" x14ac:dyDescent="0.25">
      <c r="A67" s="35"/>
      <c r="B67" s="2">
        <v>250505</v>
      </c>
      <c r="C67" s="2" t="s">
        <v>33</v>
      </c>
      <c r="D67" s="2"/>
      <c r="E67" s="3">
        <f>D68-E66-E65</f>
        <v>948476.3</v>
      </c>
    </row>
    <row r="68" spans="1:5" x14ac:dyDescent="0.25">
      <c r="A68" s="35"/>
      <c r="B68" s="21" t="s">
        <v>62</v>
      </c>
      <c r="C68" s="22"/>
      <c r="D68" s="3">
        <f>SUM(D62:D64)</f>
        <v>1030952.5</v>
      </c>
      <c r="E68" s="3">
        <f>SUM(E65:E67)</f>
        <v>1030952.5</v>
      </c>
    </row>
    <row r="70" spans="1:5" x14ac:dyDescent="0.25">
      <c r="A70" s="36" t="s">
        <v>34</v>
      </c>
      <c r="B70" s="40" t="s">
        <v>24</v>
      </c>
      <c r="C70" s="40" t="s">
        <v>25</v>
      </c>
      <c r="D70" s="40" t="s">
        <v>26</v>
      </c>
      <c r="E70" s="40" t="s">
        <v>27</v>
      </c>
    </row>
    <row r="71" spans="1:5" x14ac:dyDescent="0.25">
      <c r="A71" s="36"/>
      <c r="B71" s="2">
        <v>510506</v>
      </c>
      <c r="C71" s="2" t="s">
        <v>28</v>
      </c>
      <c r="D71" s="8">
        <f>+APROPIACIONES!C12</f>
        <v>737717</v>
      </c>
      <c r="E71" s="2"/>
    </row>
    <row r="72" spans="1:5" x14ac:dyDescent="0.25">
      <c r="A72" s="36"/>
      <c r="B72" s="2">
        <v>510527</v>
      </c>
      <c r="C72" s="2" t="s">
        <v>30</v>
      </c>
      <c r="D72" s="8">
        <f>+APROPIACIONES!E12</f>
        <v>83140</v>
      </c>
      <c r="E72" s="2"/>
    </row>
    <row r="73" spans="1:5" x14ac:dyDescent="0.25">
      <c r="A73" s="36"/>
      <c r="B73" s="2">
        <v>510515</v>
      </c>
      <c r="C73" s="2" t="s">
        <v>29</v>
      </c>
      <c r="D73" s="8">
        <f>+APROPIACIONES!F12</f>
        <v>21055.672708333332</v>
      </c>
      <c r="E73" s="2"/>
    </row>
    <row r="74" spans="1:5" x14ac:dyDescent="0.25">
      <c r="A74" s="36"/>
      <c r="B74" s="2">
        <v>237006</v>
      </c>
      <c r="C74" s="2" t="s">
        <v>31</v>
      </c>
      <c r="D74" s="6"/>
      <c r="E74" s="3">
        <f>D77*4%</f>
        <v>33676.506908333336</v>
      </c>
    </row>
    <row r="75" spans="1:5" x14ac:dyDescent="0.25">
      <c r="A75" s="36"/>
      <c r="B75" s="2">
        <v>238030</v>
      </c>
      <c r="C75" s="2" t="s">
        <v>32</v>
      </c>
      <c r="D75" s="2"/>
      <c r="E75" s="3">
        <f>D77*4%</f>
        <v>33676.506908333336</v>
      </c>
    </row>
    <row r="76" spans="1:5" x14ac:dyDescent="0.25">
      <c r="A76" s="36"/>
      <c r="B76" s="2">
        <v>250505</v>
      </c>
      <c r="C76" s="2" t="s">
        <v>33</v>
      </c>
      <c r="D76" s="2"/>
      <c r="E76" s="3">
        <f>D77-E75-E74</f>
        <v>774559.65889166668</v>
      </c>
    </row>
    <row r="77" spans="1:5" x14ac:dyDescent="0.25">
      <c r="A77" s="36"/>
      <c r="B77" s="26" t="s">
        <v>62</v>
      </c>
      <c r="C77" s="27"/>
      <c r="D77" s="28">
        <f>SUM(D71:D76)</f>
        <v>841912.67270833335</v>
      </c>
      <c r="E77" s="28">
        <f>SUM(E74:E76)</f>
        <v>841912.67270833335</v>
      </c>
    </row>
    <row r="79" spans="1:5" x14ac:dyDescent="0.25">
      <c r="A79" s="37" t="s">
        <v>54</v>
      </c>
      <c r="B79" s="39" t="s">
        <v>24</v>
      </c>
      <c r="C79" s="39" t="s">
        <v>25</v>
      </c>
      <c r="D79" s="39" t="s">
        <v>26</v>
      </c>
      <c r="E79" s="39" t="s">
        <v>27</v>
      </c>
    </row>
    <row r="80" spans="1:5" x14ac:dyDescent="0.25">
      <c r="A80" s="37"/>
      <c r="B80" s="2">
        <v>510506</v>
      </c>
      <c r="C80" s="2" t="s">
        <v>28</v>
      </c>
      <c r="D80" s="8">
        <f>+APROPIACIONES!C13</f>
        <v>737717</v>
      </c>
      <c r="E80" s="2"/>
    </row>
    <row r="81" spans="1:5" x14ac:dyDescent="0.25">
      <c r="A81" s="37"/>
      <c r="B81" s="2">
        <v>510527</v>
      </c>
      <c r="C81" s="2" t="s">
        <v>30</v>
      </c>
      <c r="D81" s="17">
        <f>+APROPIACIONES!E13</f>
        <v>83140</v>
      </c>
      <c r="E81" s="2"/>
    </row>
    <row r="82" spans="1:5" x14ac:dyDescent="0.25">
      <c r="A82" s="37"/>
      <c r="B82" s="2">
        <v>510515</v>
      </c>
      <c r="C82" s="2" t="s">
        <v>64</v>
      </c>
      <c r="D82" s="8">
        <f>SUM(APROPIACIONES!D13,APROPIACIONES!F13)</f>
        <v>127049.62333333332</v>
      </c>
      <c r="E82" s="2"/>
    </row>
    <row r="83" spans="1:5" x14ac:dyDescent="0.25">
      <c r="A83" s="37"/>
      <c r="B83" s="2">
        <v>237006</v>
      </c>
      <c r="C83" s="2" t="s">
        <v>31</v>
      </c>
      <c r="D83" s="6"/>
      <c r="E83" s="9">
        <f>D86*4%</f>
        <v>37916.264933333332</v>
      </c>
    </row>
    <row r="84" spans="1:5" x14ac:dyDescent="0.25">
      <c r="A84" s="37"/>
      <c r="B84" s="2">
        <v>238030</v>
      </c>
      <c r="C84" s="2" t="s">
        <v>32</v>
      </c>
      <c r="D84" s="2"/>
      <c r="E84" s="9">
        <f>D86*4%</f>
        <v>37916.264933333332</v>
      </c>
    </row>
    <row r="85" spans="1:5" x14ac:dyDescent="0.25">
      <c r="A85" s="37"/>
      <c r="B85" s="2">
        <v>250505</v>
      </c>
      <c r="C85" s="2" t="s">
        <v>33</v>
      </c>
      <c r="D85" s="2"/>
      <c r="E85" s="8">
        <f>D86-E83-E84</f>
        <v>872074.09346666653</v>
      </c>
    </row>
    <row r="86" spans="1:5" x14ac:dyDescent="0.25">
      <c r="A86" s="37"/>
      <c r="B86" s="21" t="s">
        <v>62</v>
      </c>
      <c r="C86" s="22"/>
      <c r="D86" s="3">
        <f>SUM(D80:D82)</f>
        <v>947906.62333333329</v>
      </c>
      <c r="E86" s="3">
        <v>1171999</v>
      </c>
    </row>
    <row r="92" spans="1:5" x14ac:dyDescent="0.25">
      <c r="D92" s="4"/>
      <c r="E92" s="4"/>
    </row>
    <row r="93" spans="1:5" x14ac:dyDescent="0.25">
      <c r="E93" s="4"/>
    </row>
  </sheetData>
  <mergeCells count="19">
    <mergeCell ref="A79:A86"/>
    <mergeCell ref="A70:A77"/>
    <mergeCell ref="A61:A68"/>
    <mergeCell ref="A23:A30"/>
    <mergeCell ref="A32:A39"/>
    <mergeCell ref="A41:A49"/>
    <mergeCell ref="A51:A59"/>
    <mergeCell ref="A2:E2"/>
    <mergeCell ref="A4:A11"/>
    <mergeCell ref="A13:A21"/>
    <mergeCell ref="B68:C68"/>
    <mergeCell ref="B86:C86"/>
    <mergeCell ref="B11:C11"/>
    <mergeCell ref="B21:C21"/>
    <mergeCell ref="B30:C30"/>
    <mergeCell ref="B39:C39"/>
    <mergeCell ref="B59:C59"/>
    <mergeCell ref="B49:C49"/>
    <mergeCell ref="B77:C7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NOMINA</vt:lpstr>
      <vt:lpstr>APROPIACIONES</vt:lpstr>
      <vt:lpstr>CONTABILIZACION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ramirez</dc:creator>
  <cp:lastModifiedBy>422 -</cp:lastModifiedBy>
  <dcterms:created xsi:type="dcterms:W3CDTF">2016-08-18T05:11:35Z</dcterms:created>
  <dcterms:modified xsi:type="dcterms:W3CDTF">2017-11-24T19:55:30Z</dcterms:modified>
</cp:coreProperties>
</file>